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1208" yWindow="-12" windowWidth="11256" windowHeight="9636" firstSheet="1" activeTab="1"/>
  </bookViews>
  <sheets>
    <sheet name="P. ACCIÓN OCTUBRE 2019" sheetId="1" r:id="rId1"/>
    <sheet name="P. ACCIÓN CONSOLIDADO 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xlnm.Print_Titles" localSheetId="1">'P. ACCIÓN CONSOLIDADO '!$C:$F,'P. ACCIÓN CONSOLIDADO '!$1:$4</definedName>
    <definedName name="_xlnm.Print_Titles" localSheetId="0">'P. ACCIÓN OCTUBRE 2019'!$C:$F,'P. ACCIÓN OCTUBRE 2019'!$1:$3</definedName>
  </definedNames>
  <calcPr calcId="144525"/>
</workbook>
</file>

<file path=xl/calcChain.xml><?xml version="1.0" encoding="utf-8"?>
<calcChain xmlns="http://schemas.openxmlformats.org/spreadsheetml/2006/main">
  <c r="AB207" i="2" l="1"/>
  <c r="AA207" i="2"/>
  <c r="Z207" i="2"/>
  <c r="Y207" i="2"/>
  <c r="X207" i="2"/>
  <c r="W207" i="2"/>
  <c r="V207" i="2"/>
  <c r="U207" i="2"/>
  <c r="T207" i="2"/>
  <c r="S207" i="2"/>
  <c r="R207" i="2"/>
  <c r="Q207" i="2"/>
  <c r="P207" i="2"/>
  <c r="O207" i="2"/>
  <c r="N207" i="2"/>
  <c r="M207" i="2"/>
  <c r="L207" i="2"/>
  <c r="K207" i="2"/>
  <c r="J207" i="2"/>
  <c r="I207" i="2"/>
  <c r="H207" i="2"/>
  <c r="E207" i="2" l="1"/>
  <c r="ED156" i="2" l="1"/>
  <c r="EE75" i="2"/>
  <c r="EE109" i="2"/>
  <c r="EE140" i="2"/>
  <c r="ED145" i="2"/>
  <c r="EC156" i="2"/>
  <c r="EC145" i="2"/>
  <c r="DY153" i="2"/>
  <c r="DF153" i="2"/>
  <c r="CZ153" i="2"/>
  <c r="CY153" i="2"/>
  <c r="CX153" i="2"/>
  <c r="CS153" i="2"/>
  <c r="CR153" i="2"/>
  <c r="CQ153" i="2"/>
  <c r="CP153" i="2"/>
  <c r="CO153" i="2"/>
  <c r="CN153" i="2"/>
  <c r="CM153" i="2"/>
  <c r="CL153" i="2"/>
  <c r="CK153" i="2"/>
  <c r="CJ153" i="2"/>
  <c r="CI153" i="2"/>
  <c r="CH153" i="2"/>
  <c r="CG153" i="2"/>
  <c r="CE153" i="2"/>
  <c r="CA153" i="2"/>
  <c r="BB153" i="2"/>
  <c r="BA153" i="2"/>
  <c r="AZ153" i="2"/>
  <c r="AU153" i="2"/>
  <c r="AT153" i="2"/>
  <c r="AS153" i="2"/>
  <c r="AR153" i="2"/>
  <c r="AQ153" i="2"/>
  <c r="AP153" i="2"/>
  <c r="AO153" i="2"/>
  <c r="AN153" i="2"/>
  <c r="AM153" i="2"/>
  <c r="AL153" i="2"/>
  <c r="AK153" i="2"/>
  <c r="AJ153" i="2"/>
  <c r="AI153" i="2"/>
  <c r="AG153" i="2"/>
  <c r="AC153" i="2"/>
  <c r="AA153" i="2"/>
  <c r="Y153" i="2"/>
  <c r="V153" i="2"/>
  <c r="U153" i="2"/>
  <c r="T153" i="2"/>
  <c r="S153" i="2"/>
  <c r="R153" i="2"/>
  <c r="Q153" i="2"/>
  <c r="P153" i="2"/>
  <c r="O153" i="2"/>
  <c r="N153" i="2"/>
  <c r="M153" i="2"/>
  <c r="L153" i="2"/>
  <c r="K153" i="2"/>
  <c r="J153" i="2"/>
  <c r="H153" i="2"/>
  <c r="CY152" i="2"/>
  <c r="CX152" i="2"/>
  <c r="CW152" i="2"/>
  <c r="CT152" i="2"/>
  <c r="CS152" i="2"/>
  <c r="CR152" i="2"/>
  <c r="CQ152" i="2"/>
  <c r="CP152" i="2"/>
  <c r="CO152" i="2"/>
  <c r="CM152" i="2"/>
  <c r="CL152" i="2"/>
  <c r="CK152" i="2"/>
  <c r="CJ152" i="2"/>
  <c r="CI152" i="2"/>
  <c r="CH152" i="2"/>
  <c r="CE152" i="2"/>
  <c r="BA152" i="2"/>
  <c r="AZ152" i="2"/>
  <c r="AY152" i="2"/>
  <c r="AV152" i="2"/>
  <c r="AU152" i="2"/>
  <c r="AT152" i="2"/>
  <c r="AS152" i="2"/>
  <c r="AR152" i="2"/>
  <c r="AQ152" i="2"/>
  <c r="AO152" i="2"/>
  <c r="AN152" i="2"/>
  <c r="AM152" i="2"/>
  <c r="AL152" i="2"/>
  <c r="AK152" i="2"/>
  <c r="AJ152" i="2"/>
  <c r="AG152" i="2"/>
  <c r="AC152" i="2"/>
  <c r="AA152" i="2"/>
  <c r="Z152" i="2"/>
  <c r="W152" i="2"/>
  <c r="V152" i="2"/>
  <c r="U152" i="2"/>
  <c r="T152" i="2"/>
  <c r="S152" i="2"/>
  <c r="R152" i="2"/>
  <c r="Q152" i="2"/>
  <c r="P152" i="2"/>
  <c r="O152" i="2"/>
  <c r="N152" i="2"/>
  <c r="M152" i="2"/>
  <c r="L152" i="2"/>
  <c r="K152" i="2"/>
  <c r="J152" i="2"/>
  <c r="H152" i="2"/>
  <c r="DY151" i="2"/>
  <c r="CZ151" i="2"/>
  <c r="CX151" i="2"/>
  <c r="CV151" i="2"/>
  <c r="CM151" i="2"/>
  <c r="CK151" i="2"/>
  <c r="CJ151" i="2"/>
  <c r="CI151" i="2"/>
  <c r="CH151" i="2"/>
  <c r="CG151" i="2"/>
  <c r="CF151" i="2"/>
  <c r="CE151" i="2"/>
  <c r="CA151" i="2"/>
  <c r="BB151" i="2"/>
  <c r="AZ151" i="2"/>
  <c r="AX151" i="2"/>
  <c r="AO151" i="2"/>
  <c r="AM151" i="2"/>
  <c r="AL151" i="2"/>
  <c r="AK151" i="2"/>
  <c r="AJ151" i="2"/>
  <c r="AI151" i="2"/>
  <c r="AH151" i="2"/>
  <c r="AG151" i="2"/>
  <c r="AC151" i="2"/>
  <c r="AA151" i="2"/>
  <c r="Y151" i="2"/>
  <c r="X151" i="2"/>
  <c r="T151" i="2"/>
  <c r="N151" i="2"/>
  <c r="M151" i="2"/>
  <c r="L151" i="2"/>
  <c r="K151" i="2"/>
  <c r="J151" i="2"/>
  <c r="I151" i="2"/>
  <c r="H151" i="2"/>
  <c r="DY150" i="2"/>
  <c r="CZ150" i="2"/>
  <c r="CY150" i="2"/>
  <c r="CX150" i="2"/>
  <c r="CW150" i="2"/>
  <c r="CV150" i="2"/>
  <c r="CT150" i="2"/>
  <c r="CS150" i="2"/>
  <c r="CR150" i="2"/>
  <c r="CQ150" i="2"/>
  <c r="CP150" i="2"/>
  <c r="CO150" i="2"/>
  <c r="CN150" i="2"/>
  <c r="CM150" i="2"/>
  <c r="CL150" i="2"/>
  <c r="CK150" i="2"/>
  <c r="CJ150" i="2"/>
  <c r="CI150" i="2"/>
  <c r="CH150" i="2"/>
  <c r="CG150" i="2"/>
  <c r="CE150" i="2"/>
  <c r="CA150" i="2"/>
  <c r="BB150" i="2"/>
  <c r="BA150" i="2"/>
  <c r="AZ150" i="2"/>
  <c r="AY150" i="2"/>
  <c r="AX150" i="2"/>
  <c r="AV150" i="2"/>
  <c r="AU150" i="2"/>
  <c r="AT150" i="2"/>
  <c r="AS150" i="2"/>
  <c r="AR150" i="2"/>
  <c r="AQ150" i="2"/>
  <c r="AP150" i="2"/>
  <c r="AO150" i="2"/>
  <c r="AN150" i="2"/>
  <c r="AM150" i="2"/>
  <c r="AL150" i="2"/>
  <c r="AK150" i="2"/>
  <c r="AJ150" i="2"/>
  <c r="AI150" i="2"/>
  <c r="AG150" i="2"/>
  <c r="AC150" i="2"/>
  <c r="AA150" i="2"/>
  <c r="Z150" i="2"/>
  <c r="Y150" i="2"/>
  <c r="X150" i="2"/>
  <c r="W150" i="2"/>
  <c r="V150" i="2"/>
  <c r="U150" i="2"/>
  <c r="T150" i="2"/>
  <c r="S150" i="2"/>
  <c r="R150" i="2"/>
  <c r="Q150" i="2"/>
  <c r="P150" i="2"/>
  <c r="O150" i="2"/>
  <c r="N150" i="2"/>
  <c r="M150" i="2"/>
  <c r="L150" i="2"/>
  <c r="K150" i="2"/>
  <c r="J150" i="2"/>
  <c r="H150" i="2"/>
  <c r="DY149" i="2"/>
  <c r="CZ149" i="2"/>
  <c r="CY149" i="2"/>
  <c r="CT149" i="2"/>
  <c r="CS149" i="2"/>
  <c r="CR149" i="2"/>
  <c r="CQ149" i="2"/>
  <c r="CP149" i="2"/>
  <c r="CO149" i="2"/>
  <c r="CN149" i="2"/>
  <c r="CM149" i="2"/>
  <c r="CL149" i="2"/>
  <c r="CK149" i="2"/>
  <c r="CI149" i="2"/>
  <c r="CG149" i="2"/>
  <c r="CA149" i="2"/>
  <c r="BB149" i="2"/>
  <c r="BA149" i="2"/>
  <c r="AV149" i="2"/>
  <c r="AU149" i="2"/>
  <c r="AT149" i="2"/>
  <c r="AS149" i="2"/>
  <c r="AR149" i="2"/>
  <c r="AQ149" i="2"/>
  <c r="AP149" i="2"/>
  <c r="AO149" i="2"/>
  <c r="AN149" i="2"/>
  <c r="AM149" i="2"/>
  <c r="AK149" i="2"/>
  <c r="AI149" i="2"/>
  <c r="AC149" i="2"/>
  <c r="Y149" i="2"/>
  <c r="X149" i="2"/>
  <c r="W149" i="2"/>
  <c r="V149" i="2"/>
  <c r="U149" i="2"/>
  <c r="T149" i="2"/>
  <c r="S149" i="2"/>
  <c r="R149" i="2"/>
  <c r="Q149" i="2"/>
  <c r="P149" i="2"/>
  <c r="O149" i="2"/>
  <c r="N149" i="2"/>
  <c r="M149" i="2"/>
  <c r="L149" i="2"/>
  <c r="K149" i="2"/>
  <c r="J149" i="2"/>
  <c r="CY148" i="2"/>
  <c r="CX148" i="2"/>
  <c r="CR148" i="2"/>
  <c r="CQ148" i="2"/>
  <c r="CP148" i="2"/>
  <c r="CJ148" i="2"/>
  <c r="CI148" i="2"/>
  <c r="CH148" i="2"/>
  <c r="CG148" i="2"/>
  <c r="CE148" i="2"/>
  <c r="BA148" i="2"/>
  <c r="AZ148" i="2"/>
  <c r="AS148" i="2"/>
  <c r="AR148" i="2"/>
  <c r="AL148" i="2"/>
  <c r="AK148" i="2"/>
  <c r="AI148" i="2"/>
  <c r="AG148" i="2"/>
  <c r="AA148" i="2"/>
  <c r="Y148" i="2"/>
  <c r="X148" i="2"/>
  <c r="W148" i="2"/>
  <c r="T148" i="2"/>
  <c r="S148" i="2"/>
  <c r="N148" i="2"/>
  <c r="M148" i="2"/>
  <c r="L148" i="2"/>
  <c r="K148" i="2"/>
  <c r="J148" i="2"/>
  <c r="I148" i="2"/>
  <c r="H148" i="2"/>
  <c r="CZ147" i="2"/>
  <c r="CY147" i="2"/>
  <c r="CX147" i="2"/>
  <c r="CW147" i="2"/>
  <c r="CU147" i="2"/>
  <c r="CQ147" i="2"/>
  <c r="CP147" i="2"/>
  <c r="CK147" i="2"/>
  <c r="CJ147" i="2"/>
  <c r="CI147" i="2"/>
  <c r="CH147" i="2"/>
  <c r="CG147" i="2"/>
  <c r="CF147" i="2"/>
  <c r="CE147" i="2"/>
  <c r="BH147" i="2"/>
  <c r="BA147" i="2"/>
  <c r="AZ147" i="2"/>
  <c r="AY147" i="2"/>
  <c r="AW147" i="2"/>
  <c r="AS147" i="2"/>
  <c r="AR147" i="2"/>
  <c r="AM147" i="2"/>
  <c r="AL147" i="2"/>
  <c r="AK147" i="2"/>
  <c r="AJ147" i="2"/>
  <c r="AI147" i="2"/>
  <c r="AH147" i="2"/>
  <c r="AG147" i="2"/>
  <c r="AB147" i="2"/>
  <c r="AA147" i="2"/>
  <c r="Z147" i="2"/>
  <c r="X147" i="2"/>
  <c r="W147" i="2"/>
  <c r="U147" i="2"/>
  <c r="S147" i="2"/>
  <c r="N147" i="2"/>
  <c r="M147" i="2"/>
  <c r="K147" i="2"/>
  <c r="J147" i="2"/>
  <c r="I147" i="2"/>
  <c r="H147" i="2"/>
  <c r="CY143" i="2"/>
  <c r="CX143" i="2"/>
  <c r="CQ143" i="2"/>
  <c r="CP143" i="2"/>
  <c r="CK143" i="2"/>
  <c r="CJ143" i="2"/>
  <c r="CI143" i="2"/>
  <c r="CH143" i="2"/>
  <c r="CG143" i="2"/>
  <c r="CE143" i="2"/>
  <c r="BA143" i="2"/>
  <c r="AZ143" i="2"/>
  <c r="AS143" i="2"/>
  <c r="AR143" i="2"/>
  <c r="AM143" i="2"/>
  <c r="AL143" i="2"/>
  <c r="AK143" i="2"/>
  <c r="AI143" i="2"/>
  <c r="AG143" i="2"/>
  <c r="AB143" i="2"/>
  <c r="AA143" i="2"/>
  <c r="X143" i="2"/>
  <c r="W143" i="2"/>
  <c r="S143" i="2"/>
  <c r="N143" i="2"/>
  <c r="M143" i="2"/>
  <c r="K143" i="2"/>
  <c r="J143" i="2"/>
  <c r="H143" i="2"/>
  <c r="DX142" i="2"/>
  <c r="DW142" i="2"/>
  <c r="DV142" i="2"/>
  <c r="DU142" i="2"/>
  <c r="DT142" i="2"/>
  <c r="DS142" i="2"/>
  <c r="DR142" i="2"/>
  <c r="DQ142" i="2"/>
  <c r="DP142" i="2"/>
  <c r="DO142" i="2"/>
  <c r="DN142" i="2"/>
  <c r="DM142" i="2"/>
  <c r="DL142" i="2"/>
  <c r="DK142" i="2"/>
  <c r="DJ142" i="2"/>
  <c r="DI142" i="2"/>
  <c r="DH142" i="2"/>
  <c r="DG142" i="2"/>
  <c r="DF142" i="2"/>
  <c r="DD142" i="2"/>
  <c r="CF142" i="2"/>
  <c r="CD142" i="2" s="1"/>
  <c r="BZ142" i="2"/>
  <c r="BY142" i="2"/>
  <c r="BX142" i="2"/>
  <c r="BW142" i="2"/>
  <c r="BV142" i="2"/>
  <c r="BU142" i="2"/>
  <c r="BT142" i="2"/>
  <c r="BS142" i="2"/>
  <c r="BR142" i="2"/>
  <c r="BQ142" i="2"/>
  <c r="BP142" i="2"/>
  <c r="BO142" i="2"/>
  <c r="BN142" i="2"/>
  <c r="BM142" i="2"/>
  <c r="BL142" i="2"/>
  <c r="BK142" i="2"/>
  <c r="BJ142" i="2"/>
  <c r="BI142" i="2"/>
  <c r="BH142" i="2"/>
  <c r="BF142" i="2"/>
  <c r="AH142" i="2"/>
  <c r="BG142" i="2" s="1"/>
  <c r="I142" i="2"/>
  <c r="G142" i="2" s="1"/>
  <c r="DX141" i="2"/>
  <c r="DW141" i="2"/>
  <c r="DV141" i="2"/>
  <c r="DU141" i="2"/>
  <c r="DT141" i="2"/>
  <c r="DS141" i="2"/>
  <c r="DR141" i="2"/>
  <c r="DQ141" i="2"/>
  <c r="DP141" i="2"/>
  <c r="DO141" i="2"/>
  <c r="DN141" i="2"/>
  <c r="DM141" i="2"/>
  <c r="DL141" i="2"/>
  <c r="DK141" i="2"/>
  <c r="DJ141" i="2"/>
  <c r="DI141" i="2"/>
  <c r="DH141" i="2"/>
  <c r="DG141" i="2"/>
  <c r="DF141" i="2"/>
  <c r="DD141" i="2"/>
  <c r="DA141" i="2"/>
  <c r="CF141" i="2" s="1"/>
  <c r="CD141" i="2" s="1"/>
  <c r="BZ141" i="2"/>
  <c r="BY141" i="2"/>
  <c r="BX141" i="2"/>
  <c r="BW141" i="2"/>
  <c r="BV141" i="2"/>
  <c r="BU141" i="2"/>
  <c r="BT141" i="2"/>
  <c r="BS141" i="2"/>
  <c r="BR141" i="2"/>
  <c r="BQ141" i="2"/>
  <c r="BP141" i="2"/>
  <c r="BO141" i="2"/>
  <c r="BN141" i="2"/>
  <c r="BM141" i="2"/>
  <c r="BL141" i="2"/>
  <c r="BK141" i="2"/>
  <c r="BJ141" i="2"/>
  <c r="BI141" i="2"/>
  <c r="BH141" i="2"/>
  <c r="BF141" i="2"/>
  <c r="BC141" i="2"/>
  <c r="AH141" i="2"/>
  <c r="AD141" i="2"/>
  <c r="I141" i="2"/>
  <c r="DZ140" i="2"/>
  <c r="DX140" i="2"/>
  <c r="DW140" i="2"/>
  <c r="DV140" i="2"/>
  <c r="DT140" i="2"/>
  <c r="DS140" i="2"/>
  <c r="DR140" i="2"/>
  <c r="DQ140" i="2"/>
  <c r="DP140" i="2"/>
  <c r="DO140" i="2"/>
  <c r="DN140" i="2"/>
  <c r="DM140" i="2"/>
  <c r="DL140" i="2"/>
  <c r="DK140" i="2"/>
  <c r="DJ140" i="2"/>
  <c r="DI140" i="2"/>
  <c r="DH140" i="2"/>
  <c r="DG140" i="2"/>
  <c r="DF140" i="2"/>
  <c r="DE140" i="2"/>
  <c r="DD140" i="2"/>
  <c r="DB140" i="2"/>
  <c r="CV140" i="2"/>
  <c r="CD140" i="2" s="1"/>
  <c r="CB140" i="2"/>
  <c r="BZ140" i="2"/>
  <c r="BY140" i="2"/>
  <c r="BX140" i="2"/>
  <c r="BV140" i="2"/>
  <c r="BU140" i="2"/>
  <c r="BT140" i="2"/>
  <c r="BS140" i="2"/>
  <c r="BR140" i="2"/>
  <c r="BQ140" i="2"/>
  <c r="BP140" i="2"/>
  <c r="BO140" i="2"/>
  <c r="BN140" i="2"/>
  <c r="BM140" i="2"/>
  <c r="BL140" i="2"/>
  <c r="BK140" i="2"/>
  <c r="BJ140" i="2"/>
  <c r="BI140" i="2"/>
  <c r="BH140" i="2"/>
  <c r="BG140" i="2"/>
  <c r="BF140" i="2"/>
  <c r="AX140" i="2"/>
  <c r="G140" i="2"/>
  <c r="DZ139" i="2"/>
  <c r="DX139" i="2"/>
  <c r="DW139" i="2"/>
  <c r="DV139" i="2"/>
  <c r="DU139" i="2"/>
  <c r="DT139" i="2"/>
  <c r="DS139" i="2"/>
  <c r="DR139" i="2"/>
  <c r="DQ139" i="2"/>
  <c r="DP139" i="2"/>
  <c r="DO139" i="2"/>
  <c r="DN139" i="2"/>
  <c r="DM139" i="2"/>
  <c r="DL139" i="2"/>
  <c r="DK139" i="2"/>
  <c r="DJ139" i="2"/>
  <c r="DI139" i="2"/>
  <c r="DH139" i="2"/>
  <c r="DG139" i="2"/>
  <c r="DF139" i="2"/>
  <c r="DE139" i="2"/>
  <c r="DD139" i="2"/>
  <c r="CD139" i="2"/>
  <c r="CB139" i="2"/>
  <c r="BZ139" i="2"/>
  <c r="BY139" i="2"/>
  <c r="BX139" i="2"/>
  <c r="BW139" i="2"/>
  <c r="BV139" i="2"/>
  <c r="BU139" i="2"/>
  <c r="BT139" i="2"/>
  <c r="BS139" i="2"/>
  <c r="BR139" i="2"/>
  <c r="BQ139" i="2"/>
  <c r="BP139" i="2"/>
  <c r="BO139" i="2"/>
  <c r="BN139" i="2"/>
  <c r="BM139" i="2"/>
  <c r="BL139" i="2"/>
  <c r="BK139" i="2"/>
  <c r="BJ139" i="2"/>
  <c r="BI139" i="2"/>
  <c r="BH139" i="2"/>
  <c r="BG139" i="2"/>
  <c r="BF139" i="2"/>
  <c r="AF139" i="2"/>
  <c r="G139" i="2"/>
  <c r="AE139" i="2" s="1"/>
  <c r="BD139" i="2" s="1"/>
  <c r="DZ138" i="2"/>
  <c r="DX138" i="2"/>
  <c r="DW138" i="2"/>
  <c r="DV138" i="2"/>
  <c r="DU138" i="2"/>
  <c r="DT138" i="2"/>
  <c r="DS138" i="2"/>
  <c r="DR138" i="2"/>
  <c r="DQ138" i="2"/>
  <c r="DP138" i="2"/>
  <c r="DO138" i="2"/>
  <c r="DN138" i="2"/>
  <c r="DM138" i="2"/>
  <c r="DL138" i="2"/>
  <c r="DK138" i="2"/>
  <c r="DJ138" i="2"/>
  <c r="DI138" i="2"/>
  <c r="DH138" i="2"/>
  <c r="DG138" i="2"/>
  <c r="DF138" i="2"/>
  <c r="DE138" i="2"/>
  <c r="DD138" i="2"/>
  <c r="CD138" i="2"/>
  <c r="CB138" i="2"/>
  <c r="BZ138" i="2"/>
  <c r="BY138" i="2"/>
  <c r="BX138" i="2"/>
  <c r="BW138" i="2"/>
  <c r="BV138" i="2"/>
  <c r="BU138" i="2"/>
  <c r="BT138" i="2"/>
  <c r="BS138" i="2"/>
  <c r="BR138" i="2"/>
  <c r="BQ138" i="2"/>
  <c r="BP138" i="2"/>
  <c r="BO138" i="2"/>
  <c r="BN138" i="2"/>
  <c r="BM138" i="2"/>
  <c r="BL138" i="2"/>
  <c r="BK138" i="2"/>
  <c r="BJ138" i="2"/>
  <c r="BI138" i="2"/>
  <c r="BH138" i="2"/>
  <c r="BG138" i="2"/>
  <c r="BF138" i="2"/>
  <c r="AF138" i="2"/>
  <c r="G138" i="2"/>
  <c r="DZ137" i="2"/>
  <c r="DX137" i="2"/>
  <c r="DW137" i="2"/>
  <c r="DV137" i="2"/>
  <c r="DT137" i="2"/>
  <c r="DS137" i="2"/>
  <c r="DR137" i="2"/>
  <c r="DQ137" i="2"/>
  <c r="DP137" i="2"/>
  <c r="DO137" i="2"/>
  <c r="DN137" i="2"/>
  <c r="DM137" i="2"/>
  <c r="DL137" i="2"/>
  <c r="DK137" i="2"/>
  <c r="DJ137" i="2"/>
  <c r="DI137" i="2"/>
  <c r="DH137" i="2"/>
  <c r="DG137" i="2"/>
  <c r="DF137" i="2"/>
  <c r="DE137" i="2"/>
  <c r="DD137" i="2"/>
  <c r="CV137" i="2"/>
  <c r="CD137" i="2" s="1"/>
  <c r="CB137" i="2"/>
  <c r="BZ137" i="2"/>
  <c r="BY137" i="2"/>
  <c r="BX137" i="2"/>
  <c r="BV137" i="2"/>
  <c r="BU137" i="2"/>
  <c r="BT137" i="2"/>
  <c r="BS137" i="2"/>
  <c r="BR137" i="2"/>
  <c r="BQ137" i="2"/>
  <c r="BP137" i="2"/>
  <c r="BO137" i="2"/>
  <c r="BN137" i="2"/>
  <c r="BM137" i="2"/>
  <c r="BL137" i="2"/>
  <c r="BK137" i="2"/>
  <c r="BJ137" i="2"/>
  <c r="BI137" i="2"/>
  <c r="BH137" i="2"/>
  <c r="BG137" i="2"/>
  <c r="BF137" i="2"/>
  <c r="AX137" i="2"/>
  <c r="BW137" i="2" s="1"/>
  <c r="G137" i="2"/>
  <c r="DZ136" i="2"/>
  <c r="DX136" i="2"/>
  <c r="DW136" i="2"/>
  <c r="DV136" i="2"/>
  <c r="DT136" i="2"/>
  <c r="DS136" i="2"/>
  <c r="DR136" i="2"/>
  <c r="DQ136" i="2"/>
  <c r="DP136" i="2"/>
  <c r="DO136" i="2"/>
  <c r="DN136" i="2"/>
  <c r="DM136" i="2"/>
  <c r="DL136" i="2"/>
  <c r="DK136" i="2"/>
  <c r="DJ136" i="2"/>
  <c r="DI136" i="2"/>
  <c r="DH136" i="2"/>
  <c r="DG136" i="2"/>
  <c r="DF136" i="2"/>
  <c r="DD136" i="2"/>
  <c r="CV136" i="2"/>
  <c r="DU136" i="2" s="1"/>
  <c r="CF136" i="2"/>
  <c r="DE136" i="2" s="1"/>
  <c r="CB136" i="2"/>
  <c r="BZ136" i="2"/>
  <c r="BY136" i="2"/>
  <c r="BX136" i="2"/>
  <c r="BV136" i="2"/>
  <c r="BU136" i="2"/>
  <c r="BT136" i="2"/>
  <c r="BS136" i="2"/>
  <c r="BR136" i="2"/>
  <c r="BQ136" i="2"/>
  <c r="BP136" i="2"/>
  <c r="BO136" i="2"/>
  <c r="BN136" i="2"/>
  <c r="BM136" i="2"/>
  <c r="BL136" i="2"/>
  <c r="BK136" i="2"/>
  <c r="BJ136" i="2"/>
  <c r="BI136" i="2"/>
  <c r="BH136" i="2"/>
  <c r="BF136" i="2"/>
  <c r="AX136" i="2"/>
  <c r="AH136" i="2"/>
  <c r="BG136" i="2" s="1"/>
  <c r="G136" i="2"/>
  <c r="DZ135" i="2"/>
  <c r="DX135" i="2"/>
  <c r="DW135" i="2"/>
  <c r="DV135" i="2"/>
  <c r="DT135" i="2"/>
  <c r="DS135" i="2"/>
  <c r="DR135" i="2"/>
  <c r="DQ135" i="2"/>
  <c r="DP135" i="2"/>
  <c r="DO135" i="2"/>
  <c r="DN135" i="2"/>
  <c r="DM135" i="2"/>
  <c r="DL135" i="2"/>
  <c r="DK135" i="2"/>
  <c r="DJ135" i="2"/>
  <c r="DI135" i="2"/>
  <c r="DH135" i="2"/>
  <c r="DG135" i="2"/>
  <c r="DF135" i="2"/>
  <c r="DD135" i="2"/>
  <c r="CV135" i="2"/>
  <c r="DU135" i="2" s="1"/>
  <c r="CF135" i="2"/>
  <c r="DE135" i="2" s="1"/>
  <c r="CB135" i="2"/>
  <c r="BZ135" i="2"/>
  <c r="BY135" i="2"/>
  <c r="BX135" i="2"/>
  <c r="BV135" i="2"/>
  <c r="BU135" i="2"/>
  <c r="BT135" i="2"/>
  <c r="BS135" i="2"/>
  <c r="BR135" i="2"/>
  <c r="BQ135" i="2"/>
  <c r="BP135" i="2"/>
  <c r="BO135" i="2"/>
  <c r="BN135" i="2"/>
  <c r="BM135" i="2"/>
  <c r="BL135" i="2"/>
  <c r="BK135" i="2"/>
  <c r="BJ135" i="2"/>
  <c r="BI135" i="2"/>
  <c r="BH135" i="2"/>
  <c r="BF135" i="2"/>
  <c r="AX135" i="2"/>
  <c r="AH135" i="2"/>
  <c r="BG135" i="2" s="1"/>
  <c r="G135" i="2"/>
  <c r="DZ134" i="2"/>
  <c r="DX134" i="2"/>
  <c r="DW134" i="2"/>
  <c r="DV134" i="2"/>
  <c r="DT134" i="2"/>
  <c r="DS134" i="2"/>
  <c r="DR134" i="2"/>
  <c r="DQ134" i="2"/>
  <c r="DP134" i="2"/>
  <c r="DO134" i="2"/>
  <c r="DN134" i="2"/>
  <c r="DM134" i="2"/>
  <c r="DL134" i="2"/>
  <c r="DK134" i="2"/>
  <c r="DJ134" i="2"/>
  <c r="DI134" i="2"/>
  <c r="DH134" i="2"/>
  <c r="DG134" i="2"/>
  <c r="DF134" i="2"/>
  <c r="DD134" i="2"/>
  <c r="CV134" i="2"/>
  <c r="DU134" i="2" s="1"/>
  <c r="CF134" i="2"/>
  <c r="CB134" i="2"/>
  <c r="BZ134" i="2"/>
  <c r="BY134" i="2"/>
  <c r="BX134" i="2"/>
  <c r="BV134" i="2"/>
  <c r="BU134" i="2"/>
  <c r="BT134" i="2"/>
  <c r="BS134" i="2"/>
  <c r="BR134" i="2"/>
  <c r="BQ134" i="2"/>
  <c r="BP134" i="2"/>
  <c r="BO134" i="2"/>
  <c r="BN134" i="2"/>
  <c r="BM134" i="2"/>
  <c r="BL134" i="2"/>
  <c r="BK134" i="2"/>
  <c r="BJ134" i="2"/>
  <c r="BI134" i="2"/>
  <c r="BH134" i="2"/>
  <c r="BF134" i="2"/>
  <c r="AX134" i="2"/>
  <c r="BW134" i="2" s="1"/>
  <c r="AH134" i="2"/>
  <c r="BG134" i="2" s="1"/>
  <c r="G134" i="2"/>
  <c r="DG133" i="2"/>
  <c r="DC133" i="2" s="1"/>
  <c r="CD133" i="2"/>
  <c r="AJ133" i="2"/>
  <c r="G133" i="2"/>
  <c r="DG132" i="2"/>
  <c r="DC132" i="2" s="1"/>
  <c r="CD132" i="2"/>
  <c r="AJ132" i="2"/>
  <c r="AF132" i="2" s="1"/>
  <c r="G132" i="2"/>
  <c r="DZ131" i="2"/>
  <c r="DX131" i="2"/>
  <c r="DW131" i="2"/>
  <c r="DV131" i="2"/>
  <c r="DU131" i="2"/>
  <c r="DT131" i="2"/>
  <c r="DS131" i="2"/>
  <c r="DR131" i="2"/>
  <c r="DQ131" i="2"/>
  <c r="DP131" i="2"/>
  <c r="DO131" i="2"/>
  <c r="DN131" i="2"/>
  <c r="DM131" i="2"/>
  <c r="DL131" i="2"/>
  <c r="DK131" i="2"/>
  <c r="DJ131" i="2"/>
  <c r="DI131" i="2"/>
  <c r="DH131" i="2"/>
  <c r="DG131" i="2"/>
  <c r="DF131" i="2"/>
  <c r="DE131" i="2"/>
  <c r="DD131" i="2"/>
  <c r="CD131" i="2"/>
  <c r="CB131" i="2"/>
  <c r="BZ131" i="2"/>
  <c r="BY131" i="2"/>
  <c r="BX131" i="2"/>
  <c r="BW131" i="2"/>
  <c r="BV131" i="2"/>
  <c r="BU131" i="2"/>
  <c r="BT131" i="2"/>
  <c r="BS131" i="2"/>
  <c r="BR131" i="2"/>
  <c r="BQ131" i="2"/>
  <c r="BP131" i="2"/>
  <c r="BO131" i="2"/>
  <c r="BN131" i="2"/>
  <c r="BM131" i="2"/>
  <c r="BL131" i="2"/>
  <c r="BK131" i="2"/>
  <c r="BJ131" i="2"/>
  <c r="BI131" i="2"/>
  <c r="BH131" i="2"/>
  <c r="BG131" i="2"/>
  <c r="BF131" i="2"/>
  <c r="AF131" i="2"/>
  <c r="G131" i="2"/>
  <c r="DZ130" i="2"/>
  <c r="DX130" i="2"/>
  <c r="DW130" i="2"/>
  <c r="DU130" i="2"/>
  <c r="DS130" i="2"/>
  <c r="DR130" i="2"/>
  <c r="DQ130" i="2"/>
  <c r="DP130" i="2"/>
  <c r="DO130" i="2"/>
  <c r="DN130" i="2"/>
  <c r="DM130" i="2"/>
  <c r="DL130" i="2"/>
  <c r="DK130" i="2"/>
  <c r="DJ130" i="2"/>
  <c r="DI130" i="2"/>
  <c r="DH130" i="2"/>
  <c r="DG130" i="2"/>
  <c r="DF130" i="2"/>
  <c r="DD130" i="2"/>
  <c r="CW130" i="2"/>
  <c r="CU130" i="2"/>
  <c r="DT130" i="2" s="1"/>
  <c r="CF130" i="2"/>
  <c r="DE130" i="2" s="1"/>
  <c r="CB130" i="2"/>
  <c r="BZ130" i="2"/>
  <c r="BY130" i="2"/>
  <c r="BU130" i="2"/>
  <c r="BT130" i="2"/>
  <c r="BS130" i="2"/>
  <c r="BR130" i="2"/>
  <c r="BQ130" i="2"/>
  <c r="BP130" i="2"/>
  <c r="BO130" i="2"/>
  <c r="BN130" i="2"/>
  <c r="BM130" i="2"/>
  <c r="BL130" i="2"/>
  <c r="BK130" i="2"/>
  <c r="BJ130" i="2"/>
  <c r="BI130" i="2"/>
  <c r="BH130" i="2"/>
  <c r="BF130" i="2"/>
  <c r="AY130" i="2"/>
  <c r="AY148" i="2" s="1"/>
  <c r="AX130" i="2"/>
  <c r="BW130" i="2" s="1"/>
  <c r="AW130" i="2"/>
  <c r="BV130" i="2" s="1"/>
  <c r="AH130" i="2"/>
  <c r="BG130" i="2" s="1"/>
  <c r="Z130" i="2"/>
  <c r="G130" i="2" s="1"/>
  <c r="DX129" i="2"/>
  <c r="DW129" i="2"/>
  <c r="DV129" i="2"/>
  <c r="DU129" i="2"/>
  <c r="DT129" i="2"/>
  <c r="DS129" i="2"/>
  <c r="DR129" i="2"/>
  <c r="DP129" i="2"/>
  <c r="DO129" i="2"/>
  <c r="DN129" i="2"/>
  <c r="DM129" i="2"/>
  <c r="DL129" i="2"/>
  <c r="DJ129" i="2"/>
  <c r="DI129" i="2"/>
  <c r="DH129" i="2"/>
  <c r="DG129" i="2"/>
  <c r="DF129" i="2"/>
  <c r="DE129" i="2"/>
  <c r="DD129" i="2"/>
  <c r="DA129" i="2"/>
  <c r="CL129" i="2"/>
  <c r="DK129" i="2" s="1"/>
  <c r="BZ129" i="2"/>
  <c r="BY129" i="2"/>
  <c r="BX129" i="2"/>
  <c r="BW129" i="2"/>
  <c r="BV129" i="2"/>
  <c r="BU129" i="2"/>
  <c r="BT129" i="2"/>
  <c r="BR129" i="2"/>
  <c r="BQ129" i="2"/>
  <c r="BP129" i="2"/>
  <c r="BO129" i="2"/>
  <c r="BN129" i="2"/>
  <c r="BL129" i="2"/>
  <c r="BK129" i="2"/>
  <c r="BJ129" i="2"/>
  <c r="BI129" i="2"/>
  <c r="BH129" i="2"/>
  <c r="BG129" i="2"/>
  <c r="BF129" i="2"/>
  <c r="BC129" i="2"/>
  <c r="AT129" i="2"/>
  <c r="AT148" i="2" s="1"/>
  <c r="AN129" i="2"/>
  <c r="AD129" i="2"/>
  <c r="U129" i="2"/>
  <c r="DX128" i="2"/>
  <c r="DW128" i="2"/>
  <c r="DV128" i="2"/>
  <c r="DU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G128" i="2"/>
  <c r="DF128" i="2"/>
  <c r="DE128" i="2"/>
  <c r="DD128" i="2"/>
  <c r="DA128" i="2"/>
  <c r="CU128" i="2"/>
  <c r="BZ128" i="2"/>
  <c r="BY128" i="2"/>
  <c r="BX128" i="2"/>
  <c r="BW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I128" i="2"/>
  <c r="BH128" i="2"/>
  <c r="BG128" i="2"/>
  <c r="BF128" i="2"/>
  <c r="BC128" i="2"/>
  <c r="AW128" i="2"/>
  <c r="AD128" i="2"/>
  <c r="G128" i="2" s="1"/>
  <c r="DX127" i="2"/>
  <c r="DW127" i="2"/>
  <c r="DV127" i="2"/>
  <c r="DT127" i="2"/>
  <c r="DQ127" i="2"/>
  <c r="DP127" i="2"/>
  <c r="DO127" i="2"/>
  <c r="DJ127" i="2"/>
  <c r="DI127" i="2"/>
  <c r="DH127" i="2"/>
  <c r="DG127" i="2"/>
  <c r="DF127" i="2"/>
  <c r="DE127" i="2"/>
  <c r="DD127" i="2"/>
  <c r="DA127" i="2"/>
  <c r="CZ127" i="2"/>
  <c r="CV127" i="2"/>
  <c r="CT127" i="2"/>
  <c r="CS127" i="2"/>
  <c r="CS148" i="2" s="1"/>
  <c r="CO127" i="2"/>
  <c r="CO148" i="2" s="1"/>
  <c r="CN127" i="2"/>
  <c r="CN148" i="2" s="1"/>
  <c r="CM127" i="2"/>
  <c r="CM148" i="2" s="1"/>
  <c r="CL127" i="2"/>
  <c r="BZ127" i="2"/>
  <c r="BY127" i="2"/>
  <c r="BX127" i="2"/>
  <c r="BV127" i="2"/>
  <c r="BS127" i="2"/>
  <c r="BR127" i="2"/>
  <c r="BQ127" i="2"/>
  <c r="BL127" i="2"/>
  <c r="BK127" i="2"/>
  <c r="BJ127" i="2"/>
  <c r="BI127" i="2"/>
  <c r="BH127" i="2"/>
  <c r="BG127" i="2"/>
  <c r="BF127" i="2"/>
  <c r="BC127" i="2"/>
  <c r="BB127" i="2"/>
  <c r="AX127" i="2"/>
  <c r="BW127" i="2" s="1"/>
  <c r="AV127" i="2"/>
  <c r="BU127" i="2" s="1"/>
  <c r="AU127" i="2"/>
  <c r="AU148" i="2" s="1"/>
  <c r="AQ127" i="2"/>
  <c r="AQ148" i="2" s="1"/>
  <c r="AP127" i="2"/>
  <c r="AP148" i="2" s="1"/>
  <c r="AO127" i="2"/>
  <c r="AN127" i="2"/>
  <c r="AD127" i="2"/>
  <c r="AC127" i="2"/>
  <c r="V127" i="2"/>
  <c r="R127" i="2"/>
  <c r="Q127" i="2"/>
  <c r="P127" i="2"/>
  <c r="O127" i="2"/>
  <c r="DX126" i="2"/>
  <c r="DW126" i="2"/>
  <c r="DV126" i="2"/>
  <c r="DU126" i="2"/>
  <c r="DT126" i="2"/>
  <c r="DS126" i="2"/>
  <c r="DQ126" i="2"/>
  <c r="DP126" i="2"/>
  <c r="DO126" i="2"/>
  <c r="DJ126" i="2"/>
  <c r="DI126" i="2"/>
  <c r="DH126" i="2"/>
  <c r="DG126" i="2"/>
  <c r="DF126" i="2"/>
  <c r="DE126" i="2"/>
  <c r="DD126" i="2"/>
  <c r="DA126" i="2"/>
  <c r="CZ126" i="2"/>
  <c r="CL126" i="2"/>
  <c r="BZ126" i="2"/>
  <c r="BY126" i="2"/>
  <c r="BX126" i="2"/>
  <c r="BW126" i="2"/>
  <c r="BV126" i="2"/>
  <c r="BU126" i="2"/>
  <c r="BS126" i="2"/>
  <c r="BR126" i="2"/>
  <c r="BQ126" i="2"/>
  <c r="BL126" i="2"/>
  <c r="BK126" i="2"/>
  <c r="BJ126" i="2"/>
  <c r="BI126" i="2"/>
  <c r="BH126" i="2"/>
  <c r="BG126" i="2"/>
  <c r="BF126" i="2"/>
  <c r="BC126" i="2"/>
  <c r="BB126" i="2"/>
  <c r="AO126" i="2"/>
  <c r="AN126" i="2"/>
  <c r="AD126" i="2"/>
  <c r="AC126" i="2"/>
  <c r="V126" i="2"/>
  <c r="BT126" i="2" s="1"/>
  <c r="R126" i="2"/>
  <c r="Q126" i="2"/>
  <c r="BO126" i="2" s="1"/>
  <c r="P126" i="2"/>
  <c r="O126" i="2"/>
  <c r="O148" i="2" s="1"/>
  <c r="DX125" i="2"/>
  <c r="DW125" i="2"/>
  <c r="DV125" i="2"/>
  <c r="DT125" i="2"/>
  <c r="DP125" i="2"/>
  <c r="DO125" i="2"/>
  <c r="DJ125" i="2"/>
  <c r="DI125" i="2"/>
  <c r="DG125" i="2"/>
  <c r="DF125" i="2"/>
  <c r="DF147" i="2" s="1"/>
  <c r="DE125" i="2"/>
  <c r="DD125" i="2"/>
  <c r="DA125" i="2"/>
  <c r="CV125" i="2"/>
  <c r="CT125" i="2"/>
  <c r="CR125" i="2"/>
  <c r="CR143" i="2" s="1"/>
  <c r="CO125" i="2"/>
  <c r="CN125" i="2"/>
  <c r="CM125" i="2"/>
  <c r="CL125" i="2"/>
  <c r="BZ125" i="2"/>
  <c r="BY125" i="2"/>
  <c r="BX125" i="2"/>
  <c r="BV125" i="2"/>
  <c r="BR125" i="2"/>
  <c r="BQ125" i="2"/>
  <c r="BL125" i="2"/>
  <c r="BK125" i="2"/>
  <c r="BI125" i="2"/>
  <c r="BG125" i="2"/>
  <c r="BF125" i="2"/>
  <c r="BC125" i="2"/>
  <c r="BC147" i="2" s="1"/>
  <c r="BB125" i="2"/>
  <c r="BB147" i="2" s="1"/>
  <c r="AX125" i="2"/>
  <c r="AV125" i="2"/>
  <c r="BU125" i="2" s="1"/>
  <c r="AU125" i="2"/>
  <c r="AT125" i="2"/>
  <c r="BS125" i="2" s="1"/>
  <c r="AQ125" i="2"/>
  <c r="AP125" i="2"/>
  <c r="AO125" i="2"/>
  <c r="AN125" i="2"/>
  <c r="AD125" i="2"/>
  <c r="AD147" i="2" s="1"/>
  <c r="AC125" i="2"/>
  <c r="DY125" i="2" s="1"/>
  <c r="Y125" i="2"/>
  <c r="V125" i="2"/>
  <c r="R125" i="2"/>
  <c r="Q125" i="2"/>
  <c r="P125" i="2"/>
  <c r="O125" i="2"/>
  <c r="L125" i="2"/>
  <c r="DH125" i="2" s="1"/>
  <c r="DZ124" i="2"/>
  <c r="DX124" i="2"/>
  <c r="DW124" i="2"/>
  <c r="DV124" i="2"/>
  <c r="DU124" i="2"/>
  <c r="DT124" i="2"/>
  <c r="DS124" i="2"/>
  <c r="DQ124" i="2"/>
  <c r="DO124" i="2"/>
  <c r="DJ124" i="2"/>
  <c r="DI124" i="2"/>
  <c r="DH124" i="2"/>
  <c r="DG124" i="2"/>
  <c r="DE124" i="2"/>
  <c r="DD124" i="2"/>
  <c r="CS124" i="2"/>
  <c r="CO124" i="2"/>
  <c r="CN124" i="2"/>
  <c r="CM124" i="2"/>
  <c r="CL124" i="2"/>
  <c r="CB124" i="2"/>
  <c r="BZ124" i="2"/>
  <c r="BY124" i="2"/>
  <c r="BX124" i="2"/>
  <c r="BW124" i="2"/>
  <c r="BV124" i="2"/>
  <c r="BU124" i="2"/>
  <c r="BS124" i="2"/>
  <c r="BQ124" i="2"/>
  <c r="BL124" i="2"/>
  <c r="BK124" i="2"/>
  <c r="BJ124" i="2"/>
  <c r="BI124" i="2"/>
  <c r="BG124" i="2"/>
  <c r="BF124" i="2"/>
  <c r="AU124" i="2"/>
  <c r="AQ124" i="2"/>
  <c r="AP124" i="2"/>
  <c r="AO124" i="2"/>
  <c r="AN124" i="2"/>
  <c r="V124" i="2"/>
  <c r="T124" i="2"/>
  <c r="R124" i="2"/>
  <c r="Q124" i="2"/>
  <c r="P124" i="2"/>
  <c r="O124" i="2"/>
  <c r="DX123" i="2"/>
  <c r="DW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G123" i="2"/>
  <c r="DE123" i="2"/>
  <c r="DD123" i="2"/>
  <c r="CD123" i="2"/>
  <c r="BZ123" i="2"/>
  <c r="BY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I123" i="2"/>
  <c r="BG123" i="2"/>
  <c r="BF123" i="2"/>
  <c r="AF123" i="2"/>
  <c r="AD123" i="2"/>
  <c r="CB123" i="2" s="1"/>
  <c r="G123" i="2"/>
  <c r="DY122" i="2"/>
  <c r="CZ122" i="2"/>
  <c r="CY122" i="2"/>
  <c r="CT122" i="2"/>
  <c r="CS122" i="2"/>
  <c r="CR122" i="2"/>
  <c r="CQ122" i="2"/>
  <c r="CP122" i="2"/>
  <c r="CO122" i="2"/>
  <c r="CN122" i="2"/>
  <c r="CM122" i="2"/>
  <c r="CL122" i="2"/>
  <c r="CK122" i="2"/>
  <c r="CI122" i="2"/>
  <c r="CG122" i="2"/>
  <c r="CA122" i="2"/>
  <c r="BB122" i="2"/>
  <c r="BA122" i="2"/>
  <c r="AV122" i="2"/>
  <c r="AU122" i="2"/>
  <c r="AT122" i="2"/>
  <c r="AS122" i="2"/>
  <c r="AR122" i="2"/>
  <c r="AQ122" i="2"/>
  <c r="AP122" i="2"/>
  <c r="AO122" i="2"/>
  <c r="AN122" i="2"/>
  <c r="AM122" i="2"/>
  <c r="AK122" i="2"/>
  <c r="AI122" i="2"/>
  <c r="AC122" i="2"/>
  <c r="AB122" i="2"/>
  <c r="Y122" i="2"/>
  <c r="X122" i="2"/>
  <c r="W122" i="2"/>
  <c r="V122" i="2"/>
  <c r="U122" i="2"/>
  <c r="T122" i="2"/>
  <c r="S122" i="2"/>
  <c r="R122" i="2"/>
  <c r="Q122" i="2"/>
  <c r="P122" i="2"/>
  <c r="O122" i="2"/>
  <c r="N122" i="2"/>
  <c r="M122" i="2"/>
  <c r="L122" i="2"/>
  <c r="K122" i="2"/>
  <c r="J122" i="2"/>
  <c r="DZ121" i="2"/>
  <c r="DX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G121" i="2"/>
  <c r="DE121" i="2"/>
  <c r="CX121" i="2"/>
  <c r="DW121" i="2" s="1"/>
  <c r="CE121" i="2"/>
  <c r="CB121" i="2"/>
  <c r="BZ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I121" i="2"/>
  <c r="BH121" i="2"/>
  <c r="BG121" i="2"/>
  <c r="AZ121" i="2"/>
  <c r="BY121" i="2" s="1"/>
  <c r="AG121" i="2"/>
  <c r="BF121" i="2" s="1"/>
  <c r="G121" i="2"/>
  <c r="DZ120" i="2"/>
  <c r="DX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I120" i="2"/>
  <c r="DH120" i="2"/>
  <c r="DG120" i="2"/>
  <c r="DE120" i="2"/>
  <c r="CX120" i="2"/>
  <c r="DW120" i="2" s="1"/>
  <c r="CE120" i="2"/>
  <c r="CB120" i="2"/>
  <c r="BZ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BI120" i="2"/>
  <c r="BH120" i="2"/>
  <c r="BG120" i="2"/>
  <c r="AZ120" i="2"/>
  <c r="BY120" i="2" s="1"/>
  <c r="AG120" i="2"/>
  <c r="BF120" i="2" s="1"/>
  <c r="G120" i="2"/>
  <c r="DZ119" i="2"/>
  <c r="DX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I119" i="2"/>
  <c r="DH119" i="2"/>
  <c r="DG119" i="2"/>
  <c r="DE119" i="2"/>
  <c r="CX119" i="2"/>
  <c r="DW119" i="2" s="1"/>
  <c r="CE119" i="2"/>
  <c r="DD119" i="2" s="1"/>
  <c r="CB119" i="2"/>
  <c r="BZ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I119" i="2"/>
  <c r="BH119" i="2"/>
  <c r="BG119" i="2"/>
  <c r="AZ119" i="2"/>
  <c r="BY119" i="2" s="1"/>
  <c r="AG119" i="2"/>
  <c r="G119" i="2"/>
  <c r="CH118" i="2"/>
  <c r="CH149" i="2" s="1"/>
  <c r="CB118" i="2"/>
  <c r="BZ118" i="2"/>
  <c r="BY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AJ118" i="2"/>
  <c r="G118" i="2"/>
  <c r="DZ117" i="2"/>
  <c r="DX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G117" i="2"/>
  <c r="DF117" i="2"/>
  <c r="DE117" i="2"/>
  <c r="CX117" i="2"/>
  <c r="DW117" i="2" s="1"/>
  <c r="CE117" i="2"/>
  <c r="CB117" i="2"/>
  <c r="BZ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I117" i="2"/>
  <c r="BH117" i="2"/>
  <c r="BG117" i="2"/>
  <c r="AZ117" i="2"/>
  <c r="BY117" i="2" s="1"/>
  <c r="AG117" i="2"/>
  <c r="BF117" i="2" s="1"/>
  <c r="G117" i="2"/>
  <c r="DZ116" i="2"/>
  <c r="DX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G116" i="2"/>
  <c r="DE116" i="2"/>
  <c r="DD116" i="2"/>
  <c r="CX116" i="2"/>
  <c r="CD116" i="2" s="1"/>
  <c r="CB116" i="2"/>
  <c r="BZ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I116" i="2"/>
  <c r="BH116" i="2"/>
  <c r="BG116" i="2"/>
  <c r="BF116" i="2"/>
  <c r="AZ116" i="2"/>
  <c r="G116" i="2"/>
  <c r="DZ115" i="2"/>
  <c r="DX115" i="2"/>
  <c r="DW115" i="2"/>
  <c r="DV115" i="2"/>
  <c r="DU115" i="2"/>
  <c r="DT115" i="2"/>
  <c r="DS115" i="2"/>
  <c r="DR115" i="2"/>
  <c r="DQ115" i="2"/>
  <c r="DP115" i="2"/>
  <c r="DO115" i="2"/>
  <c r="DN115" i="2"/>
  <c r="DM115" i="2"/>
  <c r="DL115" i="2"/>
  <c r="DK115" i="2"/>
  <c r="DJ115" i="2"/>
  <c r="DI115" i="2"/>
  <c r="DH115" i="2"/>
  <c r="DG115" i="2"/>
  <c r="DE115" i="2"/>
  <c r="DD115" i="2"/>
  <c r="CD115" i="2"/>
  <c r="CC115" i="2" s="1"/>
  <c r="DB115" i="2" s="1"/>
  <c r="CB115" i="2"/>
  <c r="BZ115" i="2"/>
  <c r="BX115" i="2"/>
  <c r="BW115" i="2"/>
  <c r="BV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BG115" i="2"/>
  <c r="BF115" i="2"/>
  <c r="AZ115" i="2"/>
  <c r="G115" i="2"/>
  <c r="DZ114" i="2"/>
  <c r="DX114" i="2"/>
  <c r="DW114" i="2"/>
  <c r="DV114" i="2"/>
  <c r="DU114" i="2"/>
  <c r="DT114" i="2"/>
  <c r="DS114" i="2"/>
  <c r="DR114" i="2"/>
  <c r="DQ114" i="2"/>
  <c r="DP114" i="2"/>
  <c r="DO114" i="2"/>
  <c r="DN114" i="2"/>
  <c r="DM114" i="2"/>
  <c r="DL114" i="2"/>
  <c r="DK114" i="2"/>
  <c r="DJ114" i="2"/>
  <c r="DI114" i="2"/>
  <c r="DH114" i="2"/>
  <c r="DG114" i="2"/>
  <c r="DE114" i="2"/>
  <c r="DD114" i="2"/>
  <c r="CD114" i="2"/>
  <c r="CB114" i="2"/>
  <c r="BZ114" i="2"/>
  <c r="BX114" i="2"/>
  <c r="BW114" i="2"/>
  <c r="BV114" i="2"/>
  <c r="BU114" i="2"/>
  <c r="BT114" i="2"/>
  <c r="BS114" i="2"/>
  <c r="BR114" i="2"/>
  <c r="BQ114" i="2"/>
  <c r="BP114" i="2"/>
  <c r="BO114" i="2"/>
  <c r="BN114" i="2"/>
  <c r="BM114" i="2"/>
  <c r="BL114" i="2"/>
  <c r="BK114" i="2"/>
  <c r="BJ114" i="2"/>
  <c r="BI114" i="2"/>
  <c r="BH114" i="2"/>
  <c r="BG114" i="2"/>
  <c r="BF114" i="2"/>
  <c r="AZ114" i="2"/>
  <c r="BY114" i="2" s="1"/>
  <c r="G114" i="2"/>
  <c r="DZ113" i="2"/>
  <c r="DX113" i="2"/>
  <c r="DV113" i="2"/>
  <c r="DU113" i="2"/>
  <c r="DT113" i="2"/>
  <c r="DS113" i="2"/>
  <c r="DR113" i="2"/>
  <c r="DQ113" i="2"/>
  <c r="DP113" i="2"/>
  <c r="DO113" i="2"/>
  <c r="DN113" i="2"/>
  <c r="DM113" i="2"/>
  <c r="DL113" i="2"/>
  <c r="DK113" i="2"/>
  <c r="DJ113" i="2"/>
  <c r="DI113" i="2"/>
  <c r="DH113" i="2"/>
  <c r="DG113" i="2"/>
  <c r="DE113" i="2"/>
  <c r="DD113" i="2"/>
  <c r="CX113" i="2"/>
  <c r="CB113" i="2"/>
  <c r="BZ113" i="2"/>
  <c r="BX113" i="2"/>
  <c r="BW113" i="2"/>
  <c r="BV113" i="2"/>
  <c r="BU113" i="2"/>
  <c r="BT113" i="2"/>
  <c r="BS113" i="2"/>
  <c r="BR113" i="2"/>
  <c r="BQ113" i="2"/>
  <c r="BP113" i="2"/>
  <c r="BO113" i="2"/>
  <c r="BN113" i="2"/>
  <c r="BM113" i="2"/>
  <c r="BL113" i="2"/>
  <c r="BK113" i="2"/>
  <c r="BJ113" i="2"/>
  <c r="BI113" i="2"/>
  <c r="BH113" i="2"/>
  <c r="BG113" i="2"/>
  <c r="BF113" i="2"/>
  <c r="AZ113" i="2"/>
  <c r="G113" i="2"/>
  <c r="DX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DE112" i="2"/>
  <c r="DD112" i="2"/>
  <c r="DA112" i="2"/>
  <c r="CX112" i="2"/>
  <c r="DW112" i="2" s="1"/>
  <c r="BZ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G112" i="2"/>
  <c r="BF112" i="2"/>
  <c r="BC112" i="2"/>
  <c r="AZ112" i="2"/>
  <c r="BY112" i="2" s="1"/>
  <c r="AD112" i="2"/>
  <c r="DX111" i="2"/>
  <c r="DW111" i="2"/>
  <c r="DS111" i="2"/>
  <c r="DR111" i="2"/>
  <c r="DQ111" i="2"/>
  <c r="DP111" i="2"/>
  <c r="DO111" i="2"/>
  <c r="DN111" i="2"/>
  <c r="DM111" i="2"/>
  <c r="DL111" i="2"/>
  <c r="DK111" i="2"/>
  <c r="DJ111" i="2"/>
  <c r="DH111" i="2"/>
  <c r="DG111" i="2"/>
  <c r="DE111" i="2"/>
  <c r="DD111" i="2"/>
  <c r="DA111" i="2"/>
  <c r="CW111" i="2"/>
  <c r="CV111" i="2"/>
  <c r="CV149" i="2" s="1"/>
  <c r="CU111" i="2"/>
  <c r="CU122" i="2" s="1"/>
  <c r="CJ111" i="2"/>
  <c r="BZ111" i="2"/>
  <c r="BY111" i="2"/>
  <c r="BU111" i="2"/>
  <c r="BT111" i="2"/>
  <c r="BS111" i="2"/>
  <c r="BR111" i="2"/>
  <c r="BQ111" i="2"/>
  <c r="BP111" i="2"/>
  <c r="BO111" i="2"/>
  <c r="BN111" i="2"/>
  <c r="BM111" i="2"/>
  <c r="BL111" i="2"/>
  <c r="BJ111" i="2"/>
  <c r="BI111" i="2"/>
  <c r="BH111" i="2"/>
  <c r="BG111" i="2"/>
  <c r="BF111" i="2"/>
  <c r="BC111" i="2"/>
  <c r="AY111" i="2"/>
  <c r="AX111" i="2"/>
  <c r="AX149" i="2" s="1"/>
  <c r="AW111" i="2"/>
  <c r="AW149" i="2" s="1"/>
  <c r="AL111" i="2"/>
  <c r="AD111" i="2"/>
  <c r="Z111" i="2"/>
  <c r="DV111" i="2" s="1"/>
  <c r="DX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DF122" i="2" s="1"/>
  <c r="DA110" i="2"/>
  <c r="CX110" i="2"/>
  <c r="DW110" i="2" s="1"/>
  <c r="CW110" i="2"/>
  <c r="CF110" i="2"/>
  <c r="CF149" i="2" s="1"/>
  <c r="CE110" i="2"/>
  <c r="BZ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BC110" i="2"/>
  <c r="AZ110" i="2"/>
  <c r="BY110" i="2" s="1"/>
  <c r="AY110" i="2"/>
  <c r="AH110" i="2"/>
  <c r="AG110" i="2"/>
  <c r="AD110" i="2"/>
  <c r="Z110" i="2"/>
  <c r="I110" i="2"/>
  <c r="H110" i="2"/>
  <c r="DZ109" i="2"/>
  <c r="DX109" i="2"/>
  <c r="DV109" i="2"/>
  <c r="DU109" i="2"/>
  <c r="DT109" i="2"/>
  <c r="DS109" i="2"/>
  <c r="DR109" i="2"/>
  <c r="DQ109" i="2"/>
  <c r="DP109" i="2"/>
  <c r="DO109" i="2"/>
  <c r="DN109" i="2"/>
  <c r="DM109" i="2"/>
  <c r="DL109" i="2"/>
  <c r="DK109" i="2"/>
  <c r="DJ109" i="2"/>
  <c r="DI109" i="2"/>
  <c r="DH109" i="2"/>
  <c r="DG109" i="2"/>
  <c r="DE109" i="2"/>
  <c r="DD109" i="2"/>
  <c r="DB109" i="2"/>
  <c r="CD109" i="2"/>
  <c r="BI109" i="2"/>
  <c r="AF109" i="2"/>
  <c r="AA109" i="2"/>
  <c r="DZ108" i="2"/>
  <c r="DX108" i="2"/>
  <c r="DV108" i="2"/>
  <c r="DU108" i="2"/>
  <c r="DT108" i="2"/>
  <c r="DS108" i="2"/>
  <c r="DR108" i="2"/>
  <c r="DQ108" i="2"/>
  <c r="DP108" i="2"/>
  <c r="DO108" i="2"/>
  <c r="DN108" i="2"/>
  <c r="DM108" i="2"/>
  <c r="DL108" i="2"/>
  <c r="DK108" i="2"/>
  <c r="DJ108" i="2"/>
  <c r="DI108" i="2"/>
  <c r="DH108" i="2"/>
  <c r="DG108" i="2"/>
  <c r="DE108" i="2"/>
  <c r="CX108" i="2"/>
  <c r="CE108" i="2"/>
  <c r="CB108" i="2"/>
  <c r="BZ108" i="2"/>
  <c r="BX108" i="2"/>
  <c r="BW108" i="2"/>
  <c r="BV108" i="2"/>
  <c r="BU108" i="2"/>
  <c r="BT108" i="2"/>
  <c r="BS108" i="2"/>
  <c r="BR108" i="2"/>
  <c r="BQ108" i="2"/>
  <c r="BP108" i="2"/>
  <c r="BO108" i="2"/>
  <c r="BN108" i="2"/>
  <c r="BM108" i="2"/>
  <c r="BL108" i="2"/>
  <c r="BK108" i="2"/>
  <c r="BJ108" i="2"/>
  <c r="BI108" i="2"/>
  <c r="BH108" i="2"/>
  <c r="BG108" i="2"/>
  <c r="AZ108" i="2"/>
  <c r="AG108" i="2"/>
  <c r="BF108" i="2" s="1"/>
  <c r="AA108" i="2"/>
  <c r="DZ107" i="2"/>
  <c r="DX107" i="2"/>
  <c r="DV107" i="2"/>
  <c r="DU107" i="2"/>
  <c r="DT107" i="2"/>
  <c r="DS107" i="2"/>
  <c r="DR107" i="2"/>
  <c r="DQ107" i="2"/>
  <c r="DP107" i="2"/>
  <c r="DO107" i="2"/>
  <c r="DN107" i="2"/>
  <c r="DM107" i="2"/>
  <c r="DL107" i="2"/>
  <c r="DK107" i="2"/>
  <c r="DJ107" i="2"/>
  <c r="DI107" i="2"/>
  <c r="DH107" i="2"/>
  <c r="DG107" i="2"/>
  <c r="DE107" i="2"/>
  <c r="CE107" i="2"/>
  <c r="DD107" i="2" s="1"/>
  <c r="CB107" i="2"/>
  <c r="BZ107" i="2"/>
  <c r="BX107" i="2"/>
  <c r="BW107" i="2"/>
  <c r="BV107" i="2"/>
  <c r="BU107" i="2"/>
  <c r="BT107" i="2"/>
  <c r="BS107" i="2"/>
  <c r="BR107" i="2"/>
  <c r="BQ107" i="2"/>
  <c r="BP107" i="2"/>
  <c r="BO107" i="2"/>
  <c r="BN107" i="2"/>
  <c r="BM107" i="2"/>
  <c r="BL107" i="2"/>
  <c r="BK107" i="2"/>
  <c r="BJ107" i="2"/>
  <c r="BI107" i="2"/>
  <c r="BH107" i="2"/>
  <c r="BG107" i="2"/>
  <c r="AZ107" i="2"/>
  <c r="BY107" i="2" s="1"/>
  <c r="AG107" i="2"/>
  <c r="G107" i="2"/>
  <c r="DZ106" i="2"/>
  <c r="DX106" i="2"/>
  <c r="DV106" i="2"/>
  <c r="DU106" i="2"/>
  <c r="DT106" i="2"/>
  <c r="DS106" i="2"/>
  <c r="DR106" i="2"/>
  <c r="DQ106" i="2"/>
  <c r="DP106" i="2"/>
  <c r="DO106" i="2"/>
  <c r="DN106" i="2"/>
  <c r="DM106" i="2"/>
  <c r="DL106" i="2"/>
  <c r="DK106" i="2"/>
  <c r="DJ106" i="2"/>
  <c r="DI106" i="2"/>
  <c r="DH106" i="2"/>
  <c r="DG106" i="2"/>
  <c r="DE106" i="2"/>
  <c r="DD106" i="2"/>
  <c r="CX106" i="2"/>
  <c r="CD106" i="2" s="1"/>
  <c r="CB106" i="2"/>
  <c r="BZ106" i="2"/>
  <c r="BX106" i="2"/>
  <c r="BW106" i="2"/>
  <c r="BV106" i="2"/>
  <c r="BU106" i="2"/>
  <c r="BT106" i="2"/>
  <c r="BS106" i="2"/>
  <c r="BR106" i="2"/>
  <c r="BQ106" i="2"/>
  <c r="BP106" i="2"/>
  <c r="BO106" i="2"/>
  <c r="BN106" i="2"/>
  <c r="BM106" i="2"/>
  <c r="BL106" i="2"/>
  <c r="BK106" i="2"/>
  <c r="BJ106" i="2"/>
  <c r="BI106" i="2"/>
  <c r="BH106" i="2"/>
  <c r="BG106" i="2"/>
  <c r="BF106" i="2"/>
  <c r="AZ106" i="2"/>
  <c r="G106" i="2"/>
  <c r="DY105" i="2"/>
  <c r="DF105" i="2"/>
  <c r="CZ105" i="2"/>
  <c r="CY105" i="2"/>
  <c r="CX105" i="2"/>
  <c r="CS105" i="2"/>
  <c r="CR105" i="2"/>
  <c r="CQ105" i="2"/>
  <c r="CP105" i="2"/>
  <c r="CO105" i="2"/>
  <c r="CN105" i="2"/>
  <c r="CM105" i="2"/>
  <c r="CL105" i="2"/>
  <c r="CK105" i="2"/>
  <c r="CJ105" i="2"/>
  <c r="CI105" i="2"/>
  <c r="CG105" i="2"/>
  <c r="CE105" i="2"/>
  <c r="CA105" i="2"/>
  <c r="BB105" i="2"/>
  <c r="BA105" i="2"/>
  <c r="AZ105" i="2"/>
  <c r="AU105" i="2"/>
  <c r="AT105" i="2"/>
  <c r="AS105" i="2"/>
  <c r="AR105" i="2"/>
  <c r="AQ105" i="2"/>
  <c r="AP105" i="2"/>
  <c r="AO105" i="2"/>
  <c r="AN105" i="2"/>
  <c r="AM105" i="2"/>
  <c r="AL105" i="2"/>
  <c r="AK105" i="2"/>
  <c r="AI105" i="2"/>
  <c r="AG105" i="2"/>
  <c r="AC105" i="2"/>
  <c r="AB105" i="2"/>
  <c r="AA105" i="2"/>
  <c r="Y105" i="2"/>
  <c r="V105" i="2"/>
  <c r="U105" i="2"/>
  <c r="T105" i="2"/>
  <c r="S105" i="2"/>
  <c r="R105" i="2"/>
  <c r="Q105" i="2"/>
  <c r="P105" i="2"/>
  <c r="O105" i="2"/>
  <c r="N105" i="2"/>
  <c r="M105" i="2"/>
  <c r="L105" i="2"/>
  <c r="K105" i="2"/>
  <c r="J105" i="2"/>
  <c r="H105" i="2"/>
  <c r="DX104" i="2"/>
  <c r="DW104" i="2"/>
  <c r="DV104" i="2"/>
  <c r="DU104" i="2"/>
  <c r="DT104" i="2"/>
  <c r="DS104" i="2"/>
  <c r="DR104" i="2"/>
  <c r="DQ104" i="2"/>
  <c r="DP104" i="2"/>
  <c r="DO104" i="2"/>
  <c r="DN104" i="2"/>
  <c r="DM104" i="2"/>
  <c r="DL104" i="2"/>
  <c r="DK104" i="2"/>
  <c r="DJ104" i="2"/>
  <c r="DI104" i="2"/>
  <c r="DH104" i="2"/>
  <c r="DG104" i="2"/>
  <c r="DE104" i="2"/>
  <c r="DD104" i="2"/>
  <c r="DA104" i="2"/>
  <c r="CD104" i="2" s="1"/>
  <c r="BZ104" i="2"/>
  <c r="BY104" i="2"/>
  <c r="BX104" i="2"/>
  <c r="BW104" i="2"/>
  <c r="BV104" i="2"/>
  <c r="BU104" i="2"/>
  <c r="BT104" i="2"/>
  <c r="BS104" i="2"/>
  <c r="BR104" i="2"/>
  <c r="BQ104" i="2"/>
  <c r="BP104" i="2"/>
  <c r="BO104" i="2"/>
  <c r="BN104" i="2"/>
  <c r="BM104" i="2"/>
  <c r="BL104" i="2"/>
  <c r="BK104" i="2"/>
  <c r="BJ104" i="2"/>
  <c r="BI104" i="2"/>
  <c r="BH104" i="2"/>
  <c r="BG104" i="2"/>
  <c r="BF104" i="2"/>
  <c r="BC104" i="2"/>
  <c r="AD104" i="2"/>
  <c r="DX103" i="2"/>
  <c r="DW103" i="2"/>
  <c r="DT103" i="2"/>
  <c r="DS103" i="2"/>
  <c r="DR103" i="2"/>
  <c r="DQ103" i="2"/>
  <c r="DP103" i="2"/>
  <c r="DO103" i="2"/>
  <c r="DN103" i="2"/>
  <c r="DM103" i="2"/>
  <c r="DL103" i="2"/>
  <c r="DK103" i="2"/>
  <c r="DJ103" i="2"/>
  <c r="DI103" i="2"/>
  <c r="DH103" i="2"/>
  <c r="DG103" i="2"/>
  <c r="DD103" i="2"/>
  <c r="CW103" i="2"/>
  <c r="CV103" i="2"/>
  <c r="DU103" i="2" s="1"/>
  <c r="CF103" i="2"/>
  <c r="DE103" i="2" s="1"/>
  <c r="BZ103" i="2"/>
  <c r="BY103" i="2"/>
  <c r="BV103" i="2"/>
  <c r="BU103" i="2"/>
  <c r="BT103" i="2"/>
  <c r="BS103" i="2"/>
  <c r="BR103" i="2"/>
  <c r="BQ103" i="2"/>
  <c r="BP103" i="2"/>
  <c r="BO103" i="2"/>
  <c r="BN103" i="2"/>
  <c r="BM103" i="2"/>
  <c r="BL103" i="2"/>
  <c r="BK103" i="2"/>
  <c r="BJ103" i="2"/>
  <c r="BI103" i="2"/>
  <c r="BH103" i="2"/>
  <c r="BF103" i="2"/>
  <c r="BC103" i="2"/>
  <c r="AY103" i="2"/>
  <c r="AX103" i="2"/>
  <c r="BW103" i="2" s="1"/>
  <c r="AH103" i="2"/>
  <c r="BG103" i="2" s="1"/>
  <c r="AD103" i="2"/>
  <c r="Z103" i="2"/>
  <c r="DZ102" i="2"/>
  <c r="DX102" i="2"/>
  <c r="DW102" i="2"/>
  <c r="DV102" i="2"/>
  <c r="DU102" i="2"/>
  <c r="DS102" i="2"/>
  <c r="DR102" i="2"/>
  <c r="DQ102" i="2"/>
  <c r="DP102" i="2"/>
  <c r="DO102" i="2"/>
  <c r="DN102" i="2"/>
  <c r="DM102" i="2"/>
  <c r="DL102" i="2"/>
  <c r="DK102" i="2"/>
  <c r="DJ102" i="2"/>
  <c r="DI102" i="2"/>
  <c r="DH102" i="2"/>
  <c r="DG102" i="2"/>
  <c r="DE102" i="2"/>
  <c r="DD102" i="2"/>
  <c r="CD102" i="2"/>
  <c r="BI102" i="2"/>
  <c r="AF102" i="2"/>
  <c r="X102" i="2"/>
  <c r="G102" i="2" s="1"/>
  <c r="AE102" i="2" s="1"/>
  <c r="BD102" i="2" s="1"/>
  <c r="DZ101" i="2"/>
  <c r="DX101" i="2"/>
  <c r="DW101" i="2"/>
  <c r="DV101" i="2"/>
  <c r="DU101" i="2"/>
  <c r="DS101" i="2"/>
  <c r="DR101" i="2"/>
  <c r="DQ101" i="2"/>
  <c r="DP101" i="2"/>
  <c r="DO101" i="2"/>
  <c r="DN101" i="2"/>
  <c r="DM101" i="2"/>
  <c r="DL101" i="2"/>
  <c r="DK101" i="2"/>
  <c r="DJ101" i="2"/>
  <c r="DI101" i="2"/>
  <c r="DH101" i="2"/>
  <c r="DG101" i="2"/>
  <c r="DE101" i="2"/>
  <c r="DD101" i="2"/>
  <c r="CD101" i="2"/>
  <c r="CB101" i="2"/>
  <c r="BZ101" i="2"/>
  <c r="BY101" i="2"/>
  <c r="BX101" i="2"/>
  <c r="BW101" i="2"/>
  <c r="BU101" i="2"/>
  <c r="BT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BG101" i="2"/>
  <c r="BF101" i="2"/>
  <c r="AF101" i="2"/>
  <c r="X101" i="2"/>
  <c r="DZ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D100" i="2"/>
  <c r="CF100" i="2"/>
  <c r="CD100" i="2" s="1"/>
  <c r="CB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BF100" i="2"/>
  <c r="AH100" i="2"/>
  <c r="G100" i="2"/>
  <c r="DZ99" i="2"/>
  <c r="DX99" i="2"/>
  <c r="DW99" i="2"/>
  <c r="DV99" i="2"/>
  <c r="DU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E99" i="2"/>
  <c r="DD99" i="2"/>
  <c r="CU99" i="2"/>
  <c r="CD99" i="2" s="1"/>
  <c r="CB99" i="2"/>
  <c r="BZ99" i="2"/>
  <c r="BY99" i="2"/>
  <c r="BX99" i="2"/>
  <c r="BW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BG99" i="2"/>
  <c r="BF99" i="2"/>
  <c r="AW99" i="2"/>
  <c r="G99" i="2"/>
  <c r="DZ98" i="2"/>
  <c r="DX98" i="2"/>
  <c r="DW98" i="2"/>
  <c r="DU98" i="2"/>
  <c r="DT98" i="2"/>
  <c r="DS98" i="2"/>
  <c r="DR98" i="2"/>
  <c r="DQ98" i="2"/>
  <c r="DP98" i="2"/>
  <c r="DO98" i="2"/>
  <c r="DN98" i="2"/>
  <c r="DM98" i="2"/>
  <c r="DL98" i="2"/>
  <c r="DK98" i="2"/>
  <c r="DJ98" i="2"/>
  <c r="DI98" i="2"/>
  <c r="DH98" i="2"/>
  <c r="DG98" i="2"/>
  <c r="DD98" i="2"/>
  <c r="CW98" i="2"/>
  <c r="DV98" i="2" s="1"/>
  <c r="CF98" i="2"/>
  <c r="CB98" i="2"/>
  <c r="BZ98" i="2"/>
  <c r="BY98" i="2"/>
  <c r="BW98" i="2"/>
  <c r="BV98" i="2"/>
  <c r="BU98" i="2"/>
  <c r="BT98" i="2"/>
  <c r="BS98" i="2"/>
  <c r="BR98" i="2"/>
  <c r="BQ98" i="2"/>
  <c r="BP98" i="2"/>
  <c r="BO98" i="2"/>
  <c r="BN98" i="2"/>
  <c r="BM98" i="2"/>
  <c r="BL98" i="2"/>
  <c r="BK98" i="2"/>
  <c r="BJ98" i="2"/>
  <c r="BI98" i="2"/>
  <c r="BH98" i="2"/>
  <c r="BF98" i="2"/>
  <c r="AY98" i="2"/>
  <c r="BX98" i="2" s="1"/>
  <c r="AH98" i="2"/>
  <c r="G98" i="2"/>
  <c r="DZ97" i="2"/>
  <c r="DX97" i="2"/>
  <c r="DW97" i="2"/>
  <c r="DV97" i="2"/>
  <c r="DU97" i="2"/>
  <c r="DS97" i="2"/>
  <c r="DR97" i="2"/>
  <c r="DQ97" i="2"/>
  <c r="DP97" i="2"/>
  <c r="DO97" i="2"/>
  <c r="DN97" i="2"/>
  <c r="DM97" i="2"/>
  <c r="DL97" i="2"/>
  <c r="DK97" i="2"/>
  <c r="DJ97" i="2"/>
  <c r="DI97" i="2"/>
  <c r="DH97" i="2"/>
  <c r="DG97" i="2"/>
  <c r="DD97" i="2"/>
  <c r="CU97" i="2"/>
  <c r="CF97" i="2"/>
  <c r="DE97" i="2" s="1"/>
  <c r="CB97" i="2"/>
  <c r="BZ97" i="2"/>
  <c r="BY97" i="2"/>
  <c r="BX97" i="2"/>
  <c r="BW97" i="2"/>
  <c r="BU97" i="2"/>
  <c r="BT97" i="2"/>
  <c r="BS97" i="2"/>
  <c r="BR97" i="2"/>
  <c r="BQ97" i="2"/>
  <c r="BP97" i="2"/>
  <c r="BO97" i="2"/>
  <c r="BN97" i="2"/>
  <c r="BM97" i="2"/>
  <c r="BL97" i="2"/>
  <c r="BK97" i="2"/>
  <c r="BJ97" i="2"/>
  <c r="BI97" i="2"/>
  <c r="BH97" i="2"/>
  <c r="BF97" i="2"/>
  <c r="AW97" i="2"/>
  <c r="AH97" i="2"/>
  <c r="BG97" i="2" s="1"/>
  <c r="X97" i="2"/>
  <c r="DZ96" i="2"/>
  <c r="DX96" i="2"/>
  <c r="DW96" i="2"/>
  <c r="DV96" i="2"/>
  <c r="DT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DD96" i="2"/>
  <c r="CV96" i="2"/>
  <c r="DU96" i="2" s="1"/>
  <c r="CB96" i="2"/>
  <c r="BZ96" i="2"/>
  <c r="BY96" i="2"/>
  <c r="BX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BF96" i="2"/>
  <c r="AX96" i="2"/>
  <c r="AH96" i="2"/>
  <c r="I96" i="2"/>
  <c r="G96" i="2" s="1"/>
  <c r="DZ95" i="2"/>
  <c r="DX95" i="2"/>
  <c r="DW95" i="2"/>
  <c r="DV95" i="2"/>
  <c r="DU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DE95" i="2"/>
  <c r="DD95" i="2"/>
  <c r="CU95" i="2"/>
  <c r="CD95" i="2" s="1"/>
  <c r="CB95" i="2"/>
  <c r="BZ95" i="2"/>
  <c r="BY95" i="2"/>
  <c r="BX95" i="2"/>
  <c r="BW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BG95" i="2"/>
  <c r="BF95" i="2"/>
  <c r="AW95" i="2"/>
  <c r="AF95" i="2" s="1"/>
  <c r="X95" i="2"/>
  <c r="DZ94" i="2"/>
  <c r="DX94" i="2"/>
  <c r="DW94" i="2"/>
  <c r="DV94" i="2"/>
  <c r="DU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DE94" i="2"/>
  <c r="DD94" i="2"/>
  <c r="CU94" i="2"/>
  <c r="CD94" i="2" s="1"/>
  <c r="CB94" i="2"/>
  <c r="BZ94" i="2"/>
  <c r="BY94" i="2"/>
  <c r="BX94" i="2"/>
  <c r="BW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BG94" i="2"/>
  <c r="BF94" i="2"/>
  <c r="AW94" i="2"/>
  <c r="AF94" i="2" s="1"/>
  <c r="X94" i="2"/>
  <c r="DX93" i="2"/>
  <c r="DW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D93" i="2"/>
  <c r="CW93" i="2"/>
  <c r="CV93" i="2"/>
  <c r="CU93" i="2"/>
  <c r="CF93" i="2"/>
  <c r="BZ93" i="2"/>
  <c r="BY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BF93" i="2"/>
  <c r="BC93" i="2"/>
  <c r="AY93" i="2"/>
  <c r="BX93" i="2" s="1"/>
  <c r="AX93" i="2"/>
  <c r="BW93" i="2" s="1"/>
  <c r="AW93" i="2"/>
  <c r="AH93" i="2"/>
  <c r="AD93" i="2"/>
  <c r="Z93" i="2"/>
  <c r="X93" i="2"/>
  <c r="I93" i="2"/>
  <c r="DZ92" i="2"/>
  <c r="DX92" i="2"/>
  <c r="DW92" i="2"/>
  <c r="DV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E92" i="2"/>
  <c r="DD92" i="2"/>
  <c r="CD92" i="2"/>
  <c r="CB92" i="2"/>
  <c r="BZ92" i="2"/>
  <c r="BY92" i="2"/>
  <c r="BX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BG92" i="2"/>
  <c r="BF92" i="2"/>
  <c r="AF92" i="2"/>
  <c r="G92" i="2"/>
  <c r="CC92" i="2" s="1"/>
  <c r="DB92" i="2" s="1"/>
  <c r="DX91" i="2"/>
  <c r="DW91" i="2"/>
  <c r="DV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D91" i="2"/>
  <c r="DA91" i="2"/>
  <c r="CD91" i="2" s="1"/>
  <c r="BZ91" i="2"/>
  <c r="BY91" i="2"/>
  <c r="BX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F91" i="2"/>
  <c r="BC91" i="2"/>
  <c r="AF91" i="2" s="1"/>
  <c r="AD91" i="2"/>
  <c r="I91" i="2"/>
  <c r="DZ90" i="2"/>
  <c r="DX90" i="2"/>
  <c r="DW90" i="2"/>
  <c r="DV90" i="2"/>
  <c r="DU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E90" i="2"/>
  <c r="DD90" i="2"/>
  <c r="CU90" i="2"/>
  <c r="CD90" i="2" s="1"/>
  <c r="CB90" i="2"/>
  <c r="BZ90" i="2"/>
  <c r="BY90" i="2"/>
  <c r="BX90" i="2"/>
  <c r="BW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G90" i="2"/>
  <c r="BF90" i="2"/>
  <c r="AW90" i="2"/>
  <c r="BV90" i="2" s="1"/>
  <c r="G90" i="2"/>
  <c r="DX89" i="2"/>
  <c r="DW89" i="2"/>
  <c r="DV89" i="2"/>
  <c r="DU89" i="2"/>
  <c r="DT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E89" i="2"/>
  <c r="DD89" i="2"/>
  <c r="DA89" i="2"/>
  <c r="CT89" i="2" s="1"/>
  <c r="BZ89" i="2"/>
  <c r="BY89" i="2"/>
  <c r="BX89" i="2"/>
  <c r="BW89" i="2"/>
  <c r="BV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BG89" i="2"/>
  <c r="BF89" i="2"/>
  <c r="BC89" i="2"/>
  <c r="AV89" i="2"/>
  <c r="AV153" i="2" s="1"/>
  <c r="AD89" i="2"/>
  <c r="W89" i="2"/>
  <c r="W153" i="2" s="1"/>
  <c r="DZ88" i="2"/>
  <c r="DX88" i="2"/>
  <c r="DW88" i="2"/>
  <c r="DV88" i="2"/>
  <c r="DU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E88" i="2"/>
  <c r="DD88" i="2"/>
  <c r="CU88" i="2"/>
  <c r="CD88" i="2" s="1"/>
  <c r="CB88" i="2"/>
  <c r="BZ88" i="2"/>
  <c r="BY88" i="2"/>
  <c r="BX88" i="2"/>
  <c r="BW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G88" i="2"/>
  <c r="BF88" i="2"/>
  <c r="AW88" i="2"/>
  <c r="AF88" i="2" s="1"/>
  <c r="G88" i="2"/>
  <c r="DZ87" i="2"/>
  <c r="DX87" i="2"/>
  <c r="DW87" i="2"/>
  <c r="DU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E87" i="2"/>
  <c r="DD87" i="2"/>
  <c r="CW87" i="2"/>
  <c r="CB87" i="2"/>
  <c r="BZ87" i="2"/>
  <c r="BY87" i="2"/>
  <c r="BW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H87" i="2"/>
  <c r="BG87" i="2"/>
  <c r="BF87" i="2"/>
  <c r="AY87" i="2"/>
  <c r="BX87" i="2" s="1"/>
  <c r="G87" i="2"/>
  <c r="DZ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E86" i="2"/>
  <c r="DD86" i="2"/>
  <c r="CD86" i="2"/>
  <c r="CB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G86" i="2"/>
  <c r="BF86" i="2"/>
  <c r="BD86" i="2"/>
  <c r="AF86" i="2"/>
  <c r="G86" i="2"/>
  <c r="DZ85" i="2"/>
  <c r="DX85" i="2"/>
  <c r="DW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E85" i="2"/>
  <c r="DD85" i="2"/>
  <c r="CD85" i="2"/>
  <c r="CB85" i="2"/>
  <c r="BZ85" i="2"/>
  <c r="BY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G85" i="2"/>
  <c r="BF85" i="2"/>
  <c r="BD85" i="2"/>
  <c r="AF85" i="2"/>
  <c r="G85" i="2"/>
  <c r="DX84" i="2"/>
  <c r="DW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DE84" i="2"/>
  <c r="DD84" i="2"/>
  <c r="CW84" i="2"/>
  <c r="BZ84" i="2"/>
  <c r="BY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BG84" i="2"/>
  <c r="BF84" i="2"/>
  <c r="BC84" i="2"/>
  <c r="AY84" i="2"/>
  <c r="AD84" i="2"/>
  <c r="G84" i="2" s="1"/>
  <c r="DZ83" i="2"/>
  <c r="DX83" i="2"/>
  <c r="DW83" i="2"/>
  <c r="DV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D83" i="2"/>
  <c r="CF83" i="2"/>
  <c r="DE83" i="2" s="1"/>
  <c r="CB83" i="2"/>
  <c r="BZ83" i="2"/>
  <c r="BY83" i="2"/>
  <c r="BX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BF83" i="2"/>
  <c r="AH83" i="2"/>
  <c r="G83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D82" i="2"/>
  <c r="CF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BF82" i="2"/>
  <c r="BC82" i="2"/>
  <c r="AH82" i="2"/>
  <c r="BG82" i="2" s="1"/>
  <c r="AD82" i="2"/>
  <c r="DY81" i="2"/>
  <c r="CZ81" i="2"/>
  <c r="CX81" i="2"/>
  <c r="CV81" i="2"/>
  <c r="CM81" i="2"/>
  <c r="CK81" i="2"/>
  <c r="CJ81" i="2"/>
  <c r="CI81" i="2"/>
  <c r="CG81" i="2"/>
  <c r="CF81" i="2"/>
  <c r="CE81" i="2"/>
  <c r="CA81" i="2"/>
  <c r="BB81" i="2"/>
  <c r="AZ81" i="2"/>
  <c r="AX81" i="2"/>
  <c r="AO81" i="2"/>
  <c r="AM81" i="2"/>
  <c r="AL81" i="2"/>
  <c r="AK81" i="2"/>
  <c r="AI81" i="2"/>
  <c r="AH81" i="2"/>
  <c r="AG81" i="2"/>
  <c r="AC81" i="2"/>
  <c r="AA81" i="2"/>
  <c r="Y81" i="2"/>
  <c r="X81" i="2"/>
  <c r="T81" i="2"/>
  <c r="N81" i="2"/>
  <c r="M81" i="2"/>
  <c r="L81" i="2"/>
  <c r="K81" i="2"/>
  <c r="J81" i="2"/>
  <c r="I81" i="2"/>
  <c r="H81" i="2"/>
  <c r="DX80" i="2"/>
  <c r="DW80" i="2"/>
  <c r="DU80" i="2"/>
  <c r="DT80" i="2"/>
  <c r="DS80" i="2"/>
  <c r="DR80" i="2"/>
  <c r="DQ80" i="2"/>
  <c r="DP80" i="2"/>
  <c r="DO80" i="2"/>
  <c r="DN80" i="2"/>
  <c r="DM80" i="2"/>
  <c r="DL80" i="2"/>
  <c r="DJ80" i="2"/>
  <c r="DI80" i="2"/>
  <c r="DH80" i="2"/>
  <c r="DG80" i="2"/>
  <c r="DF80" i="2"/>
  <c r="DE80" i="2"/>
  <c r="DD80" i="2"/>
  <c r="CL80" i="2"/>
  <c r="CW80" i="2" s="1"/>
  <c r="BZ80" i="2"/>
  <c r="BY80" i="2"/>
  <c r="BW80" i="2"/>
  <c r="BV80" i="2"/>
  <c r="BU80" i="2"/>
  <c r="BT80" i="2"/>
  <c r="BS80" i="2"/>
  <c r="BR80" i="2"/>
  <c r="BQ80" i="2"/>
  <c r="BP80" i="2"/>
  <c r="BO80" i="2"/>
  <c r="BN80" i="2"/>
  <c r="BL80" i="2"/>
  <c r="BK80" i="2"/>
  <c r="BJ80" i="2"/>
  <c r="BI80" i="2"/>
  <c r="BH80" i="2"/>
  <c r="BG80" i="2"/>
  <c r="BF80" i="2"/>
  <c r="AY80" i="2"/>
  <c r="AN80" i="2"/>
  <c r="BM80" i="2" s="1"/>
  <c r="AD80" i="2"/>
  <c r="CB80" i="2" s="1"/>
  <c r="Z80" i="2"/>
  <c r="DX79" i="2"/>
  <c r="DW79" i="2"/>
  <c r="DU79" i="2"/>
  <c r="DT79" i="2"/>
  <c r="DS79" i="2"/>
  <c r="DR79" i="2"/>
  <c r="DQ79" i="2"/>
  <c r="DP79" i="2"/>
  <c r="DO79" i="2"/>
  <c r="DN79" i="2"/>
  <c r="DM79" i="2"/>
  <c r="DL79" i="2"/>
  <c r="DJ79" i="2"/>
  <c r="DI79" i="2"/>
  <c r="DH79" i="2"/>
  <c r="DG79" i="2"/>
  <c r="DF79" i="2"/>
  <c r="DE79" i="2"/>
  <c r="DD79" i="2"/>
  <c r="DA79" i="2"/>
  <c r="CD79" i="2" s="1"/>
  <c r="BZ79" i="2"/>
  <c r="BY79" i="2"/>
  <c r="BW79" i="2"/>
  <c r="BV79" i="2"/>
  <c r="BU79" i="2"/>
  <c r="BT79" i="2"/>
  <c r="BS79" i="2"/>
  <c r="BR79" i="2"/>
  <c r="BQ79" i="2"/>
  <c r="BP79" i="2"/>
  <c r="BO79" i="2"/>
  <c r="BN79" i="2"/>
  <c r="BL79" i="2"/>
  <c r="BK79" i="2"/>
  <c r="BJ79" i="2"/>
  <c r="BI79" i="2"/>
  <c r="BH79" i="2"/>
  <c r="BG79" i="2"/>
  <c r="BF79" i="2"/>
  <c r="BC79" i="2"/>
  <c r="AF79" i="2" s="1"/>
  <c r="AD79" i="2"/>
  <c r="Z79" i="2"/>
  <c r="DV79" i="2" s="1"/>
  <c r="O79" i="2"/>
  <c r="DK79" i="2" s="1"/>
  <c r="DX78" i="2"/>
  <c r="DW78" i="2"/>
  <c r="DU78" i="2"/>
  <c r="DT78" i="2"/>
  <c r="DS78" i="2"/>
  <c r="DR78" i="2"/>
  <c r="DQ78" i="2"/>
  <c r="DP78" i="2"/>
  <c r="DO78" i="2"/>
  <c r="DN78" i="2"/>
  <c r="DM78" i="2"/>
  <c r="DL78" i="2"/>
  <c r="DJ78" i="2"/>
  <c r="DI78" i="2"/>
  <c r="DH78" i="2"/>
  <c r="DG78" i="2"/>
  <c r="DF78" i="2"/>
  <c r="DE78" i="2"/>
  <c r="DD78" i="2"/>
  <c r="DA78" i="2"/>
  <c r="CW78" i="2"/>
  <c r="BZ78" i="2"/>
  <c r="BY78" i="2"/>
  <c r="BW78" i="2"/>
  <c r="BV78" i="2"/>
  <c r="BU78" i="2"/>
  <c r="BT78" i="2"/>
  <c r="BS78" i="2"/>
  <c r="BR78" i="2"/>
  <c r="BQ78" i="2"/>
  <c r="BP78" i="2"/>
  <c r="BO78" i="2"/>
  <c r="BN78" i="2"/>
  <c r="BL78" i="2"/>
  <c r="BK78" i="2"/>
  <c r="BJ78" i="2"/>
  <c r="BI78" i="2"/>
  <c r="BH78" i="2"/>
  <c r="BG78" i="2"/>
  <c r="BF78" i="2"/>
  <c r="BC78" i="2"/>
  <c r="AY78" i="2"/>
  <c r="AN78" i="2"/>
  <c r="AD78" i="2"/>
  <c r="DZ78" i="2" s="1"/>
  <c r="Z78" i="2"/>
  <c r="O78" i="2"/>
  <c r="DZ77" i="2"/>
  <c r="DX77" i="2"/>
  <c r="DW77" i="2"/>
  <c r="DV77" i="2"/>
  <c r="DU77" i="2"/>
  <c r="DT77" i="2"/>
  <c r="DS77" i="2"/>
  <c r="DR77" i="2"/>
  <c r="DQ77" i="2"/>
  <c r="DP77" i="2"/>
  <c r="DO77" i="2"/>
  <c r="DN77" i="2"/>
  <c r="DM77" i="2"/>
  <c r="DL77" i="2"/>
  <c r="DK77" i="2"/>
  <c r="DJ77" i="2"/>
  <c r="DI77" i="2"/>
  <c r="DH77" i="2"/>
  <c r="DG77" i="2"/>
  <c r="DF77" i="2"/>
  <c r="DE77" i="2"/>
  <c r="DD77" i="2"/>
  <c r="CD77" i="2"/>
  <c r="CB77" i="2"/>
  <c r="BZ77" i="2"/>
  <c r="BY77" i="2"/>
  <c r="BX77" i="2"/>
  <c r="BW77" i="2"/>
  <c r="BV77" i="2"/>
  <c r="BU77" i="2"/>
  <c r="BT77" i="2"/>
  <c r="BS77" i="2"/>
  <c r="BR77" i="2"/>
  <c r="BQ77" i="2"/>
  <c r="BP77" i="2"/>
  <c r="BO77" i="2"/>
  <c r="BN77" i="2"/>
  <c r="BM77" i="2"/>
  <c r="BL77" i="2"/>
  <c r="BK77" i="2"/>
  <c r="BJ77" i="2"/>
  <c r="BI77" i="2"/>
  <c r="BH77" i="2"/>
  <c r="BG77" i="2"/>
  <c r="BF77" i="2"/>
  <c r="AF77" i="2"/>
  <c r="G77" i="2"/>
  <c r="DX76" i="2"/>
  <c r="DW76" i="2"/>
  <c r="DU76" i="2"/>
  <c r="DT76" i="2"/>
  <c r="DS76" i="2"/>
  <c r="DR76" i="2"/>
  <c r="DQ76" i="2"/>
  <c r="DP76" i="2"/>
  <c r="DN76" i="2"/>
  <c r="DM76" i="2"/>
  <c r="DL76" i="2"/>
  <c r="DJ76" i="2"/>
  <c r="DI76" i="2"/>
  <c r="DH76" i="2"/>
  <c r="DG76" i="2"/>
  <c r="DF76" i="2"/>
  <c r="DE76" i="2"/>
  <c r="DD76" i="2"/>
  <c r="CP76" i="2"/>
  <c r="CL76" i="2"/>
  <c r="BZ76" i="2"/>
  <c r="BY76" i="2"/>
  <c r="BW76" i="2"/>
  <c r="BV76" i="2"/>
  <c r="BU76" i="2"/>
  <c r="BT76" i="2"/>
  <c r="BS76" i="2"/>
  <c r="BR76" i="2"/>
  <c r="BP76" i="2"/>
  <c r="BO76" i="2"/>
  <c r="BN76" i="2"/>
  <c r="BL76" i="2"/>
  <c r="BK76" i="2"/>
  <c r="BJ76" i="2"/>
  <c r="BI76" i="2"/>
  <c r="BH76" i="2"/>
  <c r="BG76" i="2"/>
  <c r="BF76" i="2"/>
  <c r="AY76" i="2"/>
  <c r="AR76" i="2"/>
  <c r="AN76" i="2"/>
  <c r="AD76" i="2"/>
  <c r="DZ76" i="2" s="1"/>
  <c r="Z76" i="2"/>
  <c r="S76" i="2"/>
  <c r="O76" i="2"/>
  <c r="DZ75" i="2"/>
  <c r="DX75" i="2"/>
  <c r="DW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G75" i="2"/>
  <c r="DF75" i="2"/>
  <c r="DE75" i="2"/>
  <c r="DD75" i="2"/>
  <c r="CD75" i="2"/>
  <c r="CB75" i="2"/>
  <c r="BZ75" i="2"/>
  <c r="BY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I75" i="2"/>
  <c r="BH75" i="2"/>
  <c r="BG75" i="2"/>
  <c r="BF75" i="2"/>
  <c r="AF75" i="2"/>
  <c r="G75" i="2"/>
  <c r="CC75" i="2" s="1"/>
  <c r="DB75" i="2" s="1"/>
  <c r="DZ74" i="2"/>
  <c r="DX74" i="2"/>
  <c r="DW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G74" i="2"/>
  <c r="DF74" i="2"/>
  <c r="DE74" i="2"/>
  <c r="DD74" i="2"/>
  <c r="CW74" i="2"/>
  <c r="CD74" i="2" s="1"/>
  <c r="CB74" i="2"/>
  <c r="BZ74" i="2"/>
  <c r="BY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I74" i="2"/>
  <c r="BH74" i="2"/>
  <c r="BG74" i="2"/>
  <c r="BF74" i="2"/>
  <c r="AY74" i="2"/>
  <c r="AF74" i="2" s="1"/>
  <c r="Z74" i="2"/>
  <c r="DZ73" i="2"/>
  <c r="DX73" i="2"/>
  <c r="DW73" i="2"/>
  <c r="DU73" i="2"/>
  <c r="DT73" i="2"/>
  <c r="DR73" i="2"/>
  <c r="DQ73" i="2"/>
  <c r="DP73" i="2"/>
  <c r="DO73" i="2"/>
  <c r="DN73" i="2"/>
  <c r="DM73" i="2"/>
  <c r="DL73" i="2"/>
  <c r="DJ73" i="2"/>
  <c r="DI73" i="2"/>
  <c r="DH73" i="2"/>
  <c r="DG73" i="2"/>
  <c r="DF73" i="2"/>
  <c r="DE73" i="2"/>
  <c r="DD73" i="2"/>
  <c r="CW73" i="2"/>
  <c r="CB73" i="2"/>
  <c r="BZ73" i="2"/>
  <c r="BY73" i="2"/>
  <c r="BW73" i="2"/>
  <c r="BV73" i="2"/>
  <c r="BT73" i="2"/>
  <c r="BS73" i="2"/>
  <c r="BR73" i="2"/>
  <c r="BQ73" i="2"/>
  <c r="BP73" i="2"/>
  <c r="BO73" i="2"/>
  <c r="BN73" i="2"/>
  <c r="BL73" i="2"/>
  <c r="BK73" i="2"/>
  <c r="BJ73" i="2"/>
  <c r="BI73" i="2"/>
  <c r="BH73" i="2"/>
  <c r="BG73" i="2"/>
  <c r="BF73" i="2"/>
  <c r="AY73" i="2"/>
  <c r="BX73" i="2" s="1"/>
  <c r="AV73" i="2"/>
  <c r="AV151" i="2" s="1"/>
  <c r="W73" i="2"/>
  <c r="O73" i="2"/>
  <c r="DK73" i="2" s="1"/>
  <c r="DZ72" i="2"/>
  <c r="DX72" i="2"/>
  <c r="DW72" i="2"/>
  <c r="DV72" i="2"/>
  <c r="DU72" i="2"/>
  <c r="DT72" i="2"/>
  <c r="DS72" i="2"/>
  <c r="DR72" i="2"/>
  <c r="DQ72" i="2"/>
  <c r="DP72" i="2"/>
  <c r="DN72" i="2"/>
  <c r="DM72" i="2"/>
  <c r="DL72" i="2"/>
  <c r="DJ72" i="2"/>
  <c r="DI72" i="2"/>
  <c r="DH72" i="2"/>
  <c r="DG72" i="2"/>
  <c r="DF72" i="2"/>
  <c r="DE72" i="2"/>
  <c r="DD72" i="2"/>
  <c r="CL72" i="2"/>
  <c r="CD72" i="2" s="1"/>
  <c r="CB72" i="2"/>
  <c r="BZ72" i="2"/>
  <c r="BY72" i="2"/>
  <c r="BX72" i="2"/>
  <c r="BW72" i="2"/>
  <c r="BV72" i="2"/>
  <c r="BU72" i="2"/>
  <c r="BT72" i="2"/>
  <c r="BS72" i="2"/>
  <c r="BR72" i="2"/>
  <c r="BP72" i="2"/>
  <c r="BO72" i="2"/>
  <c r="BN72" i="2"/>
  <c r="BL72" i="2"/>
  <c r="BK72" i="2"/>
  <c r="BJ72" i="2"/>
  <c r="BI72" i="2"/>
  <c r="BH72" i="2"/>
  <c r="BG72" i="2"/>
  <c r="BF72" i="2"/>
  <c r="AN72" i="2"/>
  <c r="AF72" i="2" s="1"/>
  <c r="S72" i="2"/>
  <c r="BQ72" i="2" s="1"/>
  <c r="O72" i="2"/>
  <c r="G72" i="2" s="1"/>
  <c r="CC72" i="2" s="1"/>
  <c r="DB72" i="2" s="1"/>
  <c r="DZ71" i="2"/>
  <c r="DX71" i="2"/>
  <c r="DW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G71" i="2"/>
  <c r="DF71" i="2"/>
  <c r="DE71" i="2"/>
  <c r="DD71" i="2"/>
  <c r="CD71" i="2"/>
  <c r="CB71" i="2"/>
  <c r="BZ71" i="2"/>
  <c r="BY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I71" i="2"/>
  <c r="BH71" i="2"/>
  <c r="BG71" i="2"/>
  <c r="BF71" i="2"/>
  <c r="AF71" i="2"/>
  <c r="G71" i="2"/>
  <c r="DZ70" i="2"/>
  <c r="DX70" i="2"/>
  <c r="DW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G70" i="2"/>
  <c r="DF70" i="2"/>
  <c r="DE70" i="2"/>
  <c r="DD70" i="2"/>
  <c r="CW70" i="2"/>
  <c r="CD70" i="2" s="1"/>
  <c r="CB70" i="2"/>
  <c r="BZ70" i="2"/>
  <c r="BY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I70" i="2"/>
  <c r="BH70" i="2"/>
  <c r="BG70" i="2"/>
  <c r="BF70" i="2"/>
  <c r="AY70" i="2"/>
  <c r="AF70" i="2" s="1"/>
  <c r="G70" i="2"/>
  <c r="DZ69" i="2"/>
  <c r="DX69" i="2"/>
  <c r="DW69" i="2"/>
  <c r="DV69" i="2"/>
  <c r="DU69" i="2"/>
  <c r="DT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G69" i="2"/>
  <c r="DF69" i="2"/>
  <c r="DE69" i="2"/>
  <c r="DD69" i="2"/>
  <c r="CD69" i="2"/>
  <c r="CB69" i="2"/>
  <c r="BZ69" i="2"/>
  <c r="BY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I69" i="2"/>
  <c r="BH69" i="2"/>
  <c r="BG69" i="2"/>
  <c r="BF69" i="2"/>
  <c r="AF69" i="2"/>
  <c r="G69" i="2"/>
  <c r="DZ68" i="2"/>
  <c r="DX68" i="2"/>
  <c r="DW68" i="2"/>
  <c r="DV68" i="2"/>
  <c r="DU68" i="2"/>
  <c r="DT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G68" i="2"/>
  <c r="DF68" i="2"/>
  <c r="DE68" i="2"/>
  <c r="DD68" i="2"/>
  <c r="CD68" i="2"/>
  <c r="CB68" i="2"/>
  <c r="BZ68" i="2"/>
  <c r="BY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I68" i="2"/>
  <c r="BH68" i="2"/>
  <c r="BG68" i="2"/>
  <c r="BF68" i="2"/>
  <c r="AF68" i="2"/>
  <c r="G68" i="2"/>
  <c r="AE68" i="2" s="1"/>
  <c r="BD68" i="2" s="1"/>
  <c r="DZ67" i="2"/>
  <c r="DX67" i="2"/>
  <c r="DW67" i="2"/>
  <c r="DV67" i="2"/>
  <c r="DU67" i="2"/>
  <c r="DT67" i="2"/>
  <c r="DS67" i="2"/>
  <c r="DR67" i="2"/>
  <c r="DQ67" i="2"/>
  <c r="DP67" i="2"/>
  <c r="DO67" i="2"/>
  <c r="DJ67" i="2"/>
  <c r="DI67" i="2"/>
  <c r="DH67" i="2"/>
  <c r="DG67" i="2"/>
  <c r="DF67" i="2"/>
  <c r="DE67" i="2"/>
  <c r="DD67" i="2"/>
  <c r="CN67" i="2"/>
  <c r="CB67" i="2"/>
  <c r="BZ67" i="2"/>
  <c r="BY67" i="2"/>
  <c r="BX67" i="2"/>
  <c r="BW67" i="2"/>
  <c r="BV67" i="2"/>
  <c r="BU67" i="2"/>
  <c r="BT67" i="2"/>
  <c r="BS67" i="2"/>
  <c r="BR67" i="2"/>
  <c r="BQ67" i="2"/>
  <c r="BL67" i="2"/>
  <c r="BK67" i="2"/>
  <c r="BJ67" i="2"/>
  <c r="BI67" i="2"/>
  <c r="BH67" i="2"/>
  <c r="BG67" i="2"/>
  <c r="BF67" i="2"/>
  <c r="AP67" i="2"/>
  <c r="AN67" i="2"/>
  <c r="BM67" i="2" s="1"/>
  <c r="R67" i="2"/>
  <c r="BP67" i="2" s="1"/>
  <c r="Q67" i="2"/>
  <c r="P67" i="2"/>
  <c r="BN67" i="2" s="1"/>
  <c r="DZ66" i="2"/>
  <c r="DX66" i="2"/>
  <c r="DW66" i="2"/>
  <c r="DV66" i="2"/>
  <c r="DU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DE66" i="2"/>
  <c r="DD66" i="2"/>
  <c r="CD66" i="2"/>
  <c r="CB66" i="2"/>
  <c r="BZ66" i="2"/>
  <c r="BY66" i="2"/>
  <c r="BX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BG66" i="2"/>
  <c r="BF66" i="2"/>
  <c r="AF66" i="2"/>
  <c r="G66" i="2"/>
  <c r="DZ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J65" i="2"/>
  <c r="DI65" i="2"/>
  <c r="DH65" i="2"/>
  <c r="DG65" i="2"/>
  <c r="DF65" i="2"/>
  <c r="DE65" i="2"/>
  <c r="DD65" i="2"/>
  <c r="CL65" i="2"/>
  <c r="CB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L65" i="2"/>
  <c r="BK65" i="2"/>
  <c r="BJ65" i="2"/>
  <c r="BI65" i="2"/>
  <c r="BH65" i="2"/>
  <c r="BG65" i="2"/>
  <c r="BF65" i="2"/>
  <c r="AN65" i="2"/>
  <c r="G65" i="2"/>
  <c r="DX64" i="2"/>
  <c r="DW64" i="2"/>
  <c r="DU64" i="2"/>
  <c r="DT64" i="2"/>
  <c r="DS64" i="2"/>
  <c r="DR64" i="2"/>
  <c r="DQ64" i="2"/>
  <c r="DP64" i="2"/>
  <c r="DK64" i="2"/>
  <c r="DJ64" i="2"/>
  <c r="DI64" i="2"/>
  <c r="DH64" i="2"/>
  <c r="DG64" i="2"/>
  <c r="DF64" i="2"/>
  <c r="DE64" i="2"/>
  <c r="DD64" i="2"/>
  <c r="CW64" i="2"/>
  <c r="BZ64" i="2"/>
  <c r="BY64" i="2"/>
  <c r="BW64" i="2"/>
  <c r="BV64" i="2"/>
  <c r="BU64" i="2"/>
  <c r="BT64" i="2"/>
  <c r="BS64" i="2"/>
  <c r="BR64" i="2"/>
  <c r="BM64" i="2"/>
  <c r="BL64" i="2"/>
  <c r="BK64" i="2"/>
  <c r="BJ64" i="2"/>
  <c r="BI64" i="2"/>
  <c r="BH64" i="2"/>
  <c r="BG64" i="2"/>
  <c r="BF64" i="2"/>
  <c r="AY64" i="2"/>
  <c r="BX64" i="2" s="1"/>
  <c r="AR64" i="2"/>
  <c r="AD64" i="2"/>
  <c r="S64" i="2"/>
  <c r="R64" i="2"/>
  <c r="DN64" i="2" s="1"/>
  <c r="Q64" i="2"/>
  <c r="BO64" i="2" s="1"/>
  <c r="P64" i="2"/>
  <c r="BN64" i="2" s="1"/>
  <c r="DZ63" i="2"/>
  <c r="DX63" i="2"/>
  <c r="DW63" i="2"/>
  <c r="DV63" i="2"/>
  <c r="DU63" i="2"/>
  <c r="DT63" i="2"/>
  <c r="DS63" i="2"/>
  <c r="DR63" i="2"/>
  <c r="DQ63" i="2"/>
  <c r="DP63" i="2"/>
  <c r="DO63" i="2"/>
  <c r="DN63" i="2"/>
  <c r="DM63" i="2"/>
  <c r="DL63" i="2"/>
  <c r="DJ63" i="2"/>
  <c r="DI63" i="2"/>
  <c r="DH63" i="2"/>
  <c r="DG63" i="2"/>
  <c r="DF63" i="2"/>
  <c r="DE63" i="2"/>
  <c r="DD63" i="2"/>
  <c r="CL63" i="2"/>
  <c r="DK63" i="2" s="1"/>
  <c r="CB63" i="2"/>
  <c r="BZ63" i="2"/>
  <c r="BY63" i="2"/>
  <c r="BX63" i="2"/>
  <c r="BW63" i="2"/>
  <c r="BV63" i="2"/>
  <c r="BU63" i="2"/>
  <c r="BT63" i="2"/>
  <c r="BS63" i="2"/>
  <c r="BR63" i="2"/>
  <c r="BQ63" i="2"/>
  <c r="BP63" i="2"/>
  <c r="BO63" i="2"/>
  <c r="BN63" i="2"/>
  <c r="BL63" i="2"/>
  <c r="BK63" i="2"/>
  <c r="BJ63" i="2"/>
  <c r="BI63" i="2"/>
  <c r="BH63" i="2"/>
  <c r="BG63" i="2"/>
  <c r="BF63" i="2"/>
  <c r="AN63" i="2"/>
  <c r="BM63" i="2" s="1"/>
  <c r="G63" i="2"/>
  <c r="DX62" i="2"/>
  <c r="DW62" i="2"/>
  <c r="DU62" i="2"/>
  <c r="DT62" i="2"/>
  <c r="DS62" i="2"/>
  <c r="DR62" i="2"/>
  <c r="DQ62" i="2"/>
  <c r="DP62" i="2"/>
  <c r="DO62" i="2"/>
  <c r="DN62" i="2"/>
  <c r="DM62" i="2"/>
  <c r="DL62" i="2"/>
  <c r="DJ62" i="2"/>
  <c r="DI62" i="2"/>
  <c r="DH62" i="2"/>
  <c r="DG62" i="2"/>
  <c r="DF62" i="2"/>
  <c r="DE62" i="2"/>
  <c r="DD62" i="2"/>
  <c r="CW62" i="2"/>
  <c r="DV62" i="2" s="1"/>
  <c r="CL62" i="2"/>
  <c r="DK62" i="2" s="1"/>
  <c r="BZ62" i="2"/>
  <c r="BY62" i="2"/>
  <c r="BW62" i="2"/>
  <c r="BV62" i="2"/>
  <c r="BU62" i="2"/>
  <c r="BT62" i="2"/>
  <c r="BS62" i="2"/>
  <c r="BR62" i="2"/>
  <c r="BQ62" i="2"/>
  <c r="BP62" i="2"/>
  <c r="BO62" i="2"/>
  <c r="BN62" i="2"/>
  <c r="BL62" i="2"/>
  <c r="BK62" i="2"/>
  <c r="BJ62" i="2"/>
  <c r="BI62" i="2"/>
  <c r="BH62" i="2"/>
  <c r="BG62" i="2"/>
  <c r="BF62" i="2"/>
  <c r="AY62" i="2"/>
  <c r="BX62" i="2" s="1"/>
  <c r="AN62" i="2"/>
  <c r="AD62" i="2"/>
  <c r="CB62" i="2" s="1"/>
  <c r="DX61" i="2"/>
  <c r="DW61" i="2"/>
  <c r="DV61" i="2"/>
  <c r="DU61" i="2"/>
  <c r="DT61" i="2"/>
  <c r="DS61" i="2"/>
  <c r="DR61" i="2"/>
  <c r="DP61" i="2"/>
  <c r="DO61" i="2"/>
  <c r="DM61" i="2"/>
  <c r="DL61" i="2"/>
  <c r="DJ61" i="2"/>
  <c r="DI61" i="2"/>
  <c r="DH61" i="2"/>
  <c r="DG61" i="2"/>
  <c r="DF61" i="2"/>
  <c r="DE61" i="2"/>
  <c r="DD61" i="2"/>
  <c r="DA61" i="2"/>
  <c r="CR61" i="2"/>
  <c r="CO61" i="2"/>
  <c r="BZ61" i="2"/>
  <c r="BY61" i="2"/>
  <c r="BX61" i="2"/>
  <c r="BW61" i="2"/>
  <c r="BV61" i="2"/>
  <c r="BU61" i="2"/>
  <c r="BT61" i="2"/>
  <c r="BR61" i="2"/>
  <c r="BQ61" i="2"/>
  <c r="BO61" i="2"/>
  <c r="BN61" i="2"/>
  <c r="BL61" i="2"/>
  <c r="BK61" i="2"/>
  <c r="BJ61" i="2"/>
  <c r="BI61" i="2"/>
  <c r="BH61" i="2"/>
  <c r="BG61" i="2"/>
  <c r="BF61" i="2"/>
  <c r="BC61" i="2"/>
  <c r="AT61" i="2"/>
  <c r="AQ61" i="2"/>
  <c r="AN61" i="2"/>
  <c r="BM61" i="2" s="1"/>
  <c r="AD61" i="2"/>
  <c r="U61" i="2"/>
  <c r="DZ60" i="2"/>
  <c r="DX60" i="2"/>
  <c r="DW60" i="2"/>
  <c r="DV60" i="2"/>
  <c r="DU60" i="2"/>
  <c r="DT60" i="2"/>
  <c r="DS60" i="2"/>
  <c r="DR60" i="2"/>
  <c r="DQ60" i="2"/>
  <c r="DP60" i="2"/>
  <c r="DO60" i="2"/>
  <c r="DN60" i="2"/>
  <c r="DM60" i="2"/>
  <c r="DL60" i="2"/>
  <c r="DJ60" i="2"/>
  <c r="DI60" i="2"/>
  <c r="DH60" i="2"/>
  <c r="DG60" i="2"/>
  <c r="DF60" i="2"/>
  <c r="DE60" i="2"/>
  <c r="DD60" i="2"/>
  <c r="CL60" i="2"/>
  <c r="CD60" i="2" s="1"/>
  <c r="CB60" i="2"/>
  <c r="BZ60" i="2"/>
  <c r="BY60" i="2"/>
  <c r="BX60" i="2"/>
  <c r="BW60" i="2"/>
  <c r="BV60" i="2"/>
  <c r="BU60" i="2"/>
  <c r="BT60" i="2"/>
  <c r="BS60" i="2"/>
  <c r="BR60" i="2"/>
  <c r="BQ60" i="2"/>
  <c r="BP60" i="2"/>
  <c r="BO60" i="2"/>
  <c r="BN60" i="2"/>
  <c r="BL60" i="2"/>
  <c r="BK60" i="2"/>
  <c r="BJ60" i="2"/>
  <c r="BI60" i="2"/>
  <c r="BH60" i="2"/>
  <c r="BG60" i="2"/>
  <c r="BF60" i="2"/>
  <c r="AN60" i="2"/>
  <c r="AF60" i="2" s="1"/>
  <c r="O60" i="2"/>
  <c r="DZ59" i="2"/>
  <c r="DX59" i="2"/>
  <c r="DW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G59" i="2"/>
  <c r="DF59" i="2"/>
  <c r="DE59" i="2"/>
  <c r="DD59" i="2"/>
  <c r="CD59" i="2"/>
  <c r="CB59" i="2"/>
  <c r="BZ59" i="2"/>
  <c r="BY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I59" i="2"/>
  <c r="BH59" i="2"/>
  <c r="BG59" i="2"/>
  <c r="BF59" i="2"/>
  <c r="AF59" i="2"/>
  <c r="G59" i="2"/>
  <c r="DZ58" i="2"/>
  <c r="DX58" i="2"/>
  <c r="DW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G58" i="2"/>
  <c r="DF58" i="2"/>
  <c r="DE58" i="2"/>
  <c r="DD58" i="2"/>
  <c r="CW58" i="2"/>
  <c r="CD58" i="2" s="1"/>
  <c r="CB58" i="2"/>
  <c r="BZ58" i="2"/>
  <c r="BY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I58" i="2"/>
  <c r="BH58" i="2"/>
  <c r="BG58" i="2"/>
  <c r="BF58" i="2"/>
  <c r="AY58" i="2"/>
  <c r="AF58" i="2" s="1"/>
  <c r="Z58" i="2"/>
  <c r="DZ57" i="2"/>
  <c r="DX57" i="2"/>
  <c r="DW57" i="2"/>
  <c r="DV57" i="2"/>
  <c r="DU57" i="2"/>
  <c r="DT57" i="2"/>
  <c r="DS57" i="2"/>
  <c r="DR57" i="2"/>
  <c r="DQ57" i="2"/>
  <c r="DP57" i="2"/>
  <c r="DO57" i="2"/>
  <c r="DN57" i="2"/>
  <c r="DM57" i="2"/>
  <c r="DL57" i="2"/>
  <c r="DJ57" i="2"/>
  <c r="DI57" i="2"/>
  <c r="DH57" i="2"/>
  <c r="DG57" i="2"/>
  <c r="DF57" i="2"/>
  <c r="DE57" i="2"/>
  <c r="DD57" i="2"/>
  <c r="CL57" i="2"/>
  <c r="CB57" i="2"/>
  <c r="BZ57" i="2"/>
  <c r="BY57" i="2"/>
  <c r="BX57" i="2"/>
  <c r="BW57" i="2"/>
  <c r="BV57" i="2"/>
  <c r="BU57" i="2"/>
  <c r="BT57" i="2"/>
  <c r="BS57" i="2"/>
  <c r="BR57" i="2"/>
  <c r="BQ57" i="2"/>
  <c r="BP57" i="2"/>
  <c r="BO57" i="2"/>
  <c r="BN57" i="2"/>
  <c r="BL57" i="2"/>
  <c r="BK57" i="2"/>
  <c r="BJ57" i="2"/>
  <c r="BI57" i="2"/>
  <c r="BH57" i="2"/>
  <c r="BG57" i="2"/>
  <c r="BF57" i="2"/>
  <c r="AN57" i="2"/>
  <c r="AF57" i="2" s="1"/>
  <c r="G57" i="2"/>
  <c r="DZ56" i="2"/>
  <c r="DX56" i="2"/>
  <c r="DW56" i="2"/>
  <c r="DU56" i="2"/>
  <c r="DT56" i="2"/>
  <c r="DS56" i="2"/>
  <c r="DR56" i="2"/>
  <c r="DQ56" i="2"/>
  <c r="DP56" i="2"/>
  <c r="DO56" i="2"/>
  <c r="DN56" i="2"/>
  <c r="DM56" i="2"/>
  <c r="DL56" i="2"/>
  <c r="DJ56" i="2"/>
  <c r="DI56" i="2"/>
  <c r="DH56" i="2"/>
  <c r="DG56" i="2"/>
  <c r="DF56" i="2"/>
  <c r="DE56" i="2"/>
  <c r="DD56" i="2"/>
  <c r="CW56" i="2"/>
  <c r="CL56" i="2"/>
  <c r="CB56" i="2"/>
  <c r="BZ56" i="2"/>
  <c r="BY56" i="2"/>
  <c r="BW56" i="2"/>
  <c r="BV56" i="2"/>
  <c r="BU56" i="2"/>
  <c r="BT56" i="2"/>
  <c r="BS56" i="2"/>
  <c r="BR56" i="2"/>
  <c r="BQ56" i="2"/>
  <c r="BP56" i="2"/>
  <c r="BO56" i="2"/>
  <c r="BN56" i="2"/>
  <c r="BL56" i="2"/>
  <c r="BK56" i="2"/>
  <c r="BJ56" i="2"/>
  <c r="BI56" i="2"/>
  <c r="BH56" i="2"/>
  <c r="BG56" i="2"/>
  <c r="BF56" i="2"/>
  <c r="AY56" i="2"/>
  <c r="AN56" i="2"/>
  <c r="BM56" i="2" s="1"/>
  <c r="Z56" i="2"/>
  <c r="G56" i="2" s="1"/>
  <c r="DZ55" i="2"/>
  <c r="DX55" i="2"/>
  <c r="DW55" i="2"/>
  <c r="DU55" i="2"/>
  <c r="DT55" i="2"/>
  <c r="DS55" i="2"/>
  <c r="DR55" i="2"/>
  <c r="DQ55" i="2"/>
  <c r="DP55" i="2"/>
  <c r="DO55" i="2"/>
  <c r="DN55" i="2"/>
  <c r="DM55" i="2"/>
  <c r="DL55" i="2"/>
  <c r="DJ55" i="2"/>
  <c r="DI55" i="2"/>
  <c r="DH55" i="2"/>
  <c r="DG55" i="2"/>
  <c r="DF55" i="2"/>
  <c r="DE55" i="2"/>
  <c r="DD55" i="2"/>
  <c r="CW55" i="2"/>
  <c r="CL55" i="2"/>
  <c r="CB55" i="2"/>
  <c r="BZ55" i="2"/>
  <c r="BY55" i="2"/>
  <c r="BW55" i="2"/>
  <c r="BV55" i="2"/>
  <c r="BU55" i="2"/>
  <c r="BT55" i="2"/>
  <c r="BS55" i="2"/>
  <c r="BR55" i="2"/>
  <c r="BQ55" i="2"/>
  <c r="BP55" i="2"/>
  <c r="BO55" i="2"/>
  <c r="BN55" i="2"/>
  <c r="BL55" i="2"/>
  <c r="BK55" i="2"/>
  <c r="BJ55" i="2"/>
  <c r="BI55" i="2"/>
  <c r="BH55" i="2"/>
  <c r="BG55" i="2"/>
  <c r="BF55" i="2"/>
  <c r="AY55" i="2"/>
  <c r="AN55" i="2"/>
  <c r="Z55" i="2"/>
  <c r="G55" i="2" s="1"/>
  <c r="DZ54" i="2"/>
  <c r="DX54" i="2"/>
  <c r="DW54" i="2"/>
  <c r="DV54" i="2"/>
  <c r="DU54" i="2"/>
  <c r="DT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G54" i="2"/>
  <c r="DF54" i="2"/>
  <c r="DE54" i="2"/>
  <c r="DD54" i="2"/>
  <c r="CD54" i="2"/>
  <c r="CC54" i="2" s="1"/>
  <c r="DB54" i="2" s="1"/>
  <c r="CB54" i="2"/>
  <c r="BZ54" i="2"/>
  <c r="BY54" i="2"/>
  <c r="BX54" i="2"/>
  <c r="BW54" i="2"/>
  <c r="BV54" i="2"/>
  <c r="BU54" i="2"/>
  <c r="BT54" i="2"/>
  <c r="BS54" i="2"/>
  <c r="BR54" i="2"/>
  <c r="BQ54" i="2"/>
  <c r="BP54" i="2"/>
  <c r="BO54" i="2"/>
  <c r="BN54" i="2"/>
  <c r="BL54" i="2"/>
  <c r="BK54" i="2"/>
  <c r="BJ54" i="2"/>
  <c r="BI54" i="2"/>
  <c r="BH54" i="2"/>
  <c r="BG54" i="2"/>
  <c r="BF54" i="2"/>
  <c r="AN54" i="2"/>
  <c r="G54" i="2"/>
  <c r="DZ53" i="2"/>
  <c r="DX53" i="2"/>
  <c r="DW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G53" i="2"/>
  <c r="DF53" i="2"/>
  <c r="DE53" i="2"/>
  <c r="DD53" i="2"/>
  <c r="CW53" i="2"/>
  <c r="CD53" i="2" s="1"/>
  <c r="CB53" i="2"/>
  <c r="BZ53" i="2"/>
  <c r="BY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I53" i="2"/>
  <c r="BH53" i="2"/>
  <c r="BG53" i="2"/>
  <c r="BF53" i="2"/>
  <c r="AY53" i="2"/>
  <c r="Z53" i="2"/>
  <c r="DZ52" i="2"/>
  <c r="DX52" i="2"/>
  <c r="DW52" i="2"/>
  <c r="DU52" i="2"/>
  <c r="DT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G52" i="2"/>
  <c r="DF52" i="2"/>
  <c r="DE52" i="2"/>
  <c r="DD52" i="2"/>
  <c r="CW52" i="2"/>
  <c r="CD52" i="2" s="1"/>
  <c r="CB52" i="2"/>
  <c r="BZ52" i="2"/>
  <c r="BY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I52" i="2"/>
  <c r="BH52" i="2"/>
  <c r="BG52" i="2"/>
  <c r="BF52" i="2"/>
  <c r="AY52" i="2"/>
  <c r="AF52" i="2" s="1"/>
  <c r="Z52" i="2"/>
  <c r="DX51" i="2"/>
  <c r="DW51" i="2"/>
  <c r="DV51" i="2"/>
  <c r="DU51" i="2"/>
  <c r="DT51" i="2"/>
  <c r="DS51" i="2"/>
  <c r="DR51" i="2"/>
  <c r="DQ51" i="2"/>
  <c r="DP51" i="2"/>
  <c r="DO51" i="2"/>
  <c r="DN51" i="2"/>
  <c r="DM51" i="2"/>
  <c r="DL51" i="2"/>
  <c r="DJ51" i="2"/>
  <c r="DI51" i="2"/>
  <c r="DH51" i="2"/>
  <c r="DG51" i="2"/>
  <c r="DF51" i="2"/>
  <c r="DE51" i="2"/>
  <c r="DD51" i="2"/>
  <c r="DA51" i="2"/>
  <c r="CD51" i="2" s="1"/>
  <c r="BZ51" i="2"/>
  <c r="BY51" i="2"/>
  <c r="BX51" i="2"/>
  <c r="BW51" i="2"/>
  <c r="BV51" i="2"/>
  <c r="BU51" i="2"/>
  <c r="BT51" i="2"/>
  <c r="BS51" i="2"/>
  <c r="BR51" i="2"/>
  <c r="BQ51" i="2"/>
  <c r="BP51" i="2"/>
  <c r="BO51" i="2"/>
  <c r="BN51" i="2"/>
  <c r="BL51" i="2"/>
  <c r="BK51" i="2"/>
  <c r="BJ51" i="2"/>
  <c r="BI51" i="2"/>
  <c r="BH51" i="2"/>
  <c r="BG51" i="2"/>
  <c r="BF51" i="2"/>
  <c r="BC51" i="2"/>
  <c r="AN51" i="2"/>
  <c r="AD51" i="2"/>
  <c r="O51" i="2"/>
  <c r="DK51" i="2" s="1"/>
  <c r="G51" i="2"/>
  <c r="DZ50" i="2"/>
  <c r="DX50" i="2"/>
  <c r="DW50" i="2"/>
  <c r="DV50" i="2"/>
  <c r="DU50" i="2"/>
  <c r="DT50" i="2"/>
  <c r="DS50" i="2"/>
  <c r="DR50" i="2"/>
  <c r="DQ50" i="2"/>
  <c r="DP50" i="2"/>
  <c r="DO50" i="2"/>
  <c r="DN50" i="2"/>
  <c r="DM50" i="2"/>
  <c r="DL50" i="2"/>
  <c r="DK50" i="2"/>
  <c r="DJ50" i="2"/>
  <c r="DI50" i="2"/>
  <c r="DH50" i="2"/>
  <c r="DG50" i="2"/>
  <c r="DF50" i="2"/>
  <c r="DE50" i="2"/>
  <c r="DD50" i="2"/>
  <c r="CD50" i="2"/>
  <c r="CB50" i="2"/>
  <c r="BZ50" i="2"/>
  <c r="BY50" i="2"/>
  <c r="BX50" i="2"/>
  <c r="BW50" i="2"/>
  <c r="BV50" i="2"/>
  <c r="BU50" i="2"/>
  <c r="BT50" i="2"/>
  <c r="BS50" i="2"/>
  <c r="BR50" i="2"/>
  <c r="BQ50" i="2"/>
  <c r="BP50" i="2"/>
  <c r="BO50" i="2"/>
  <c r="BN50" i="2"/>
  <c r="BM50" i="2"/>
  <c r="BL50" i="2"/>
  <c r="BK50" i="2"/>
  <c r="BJ50" i="2"/>
  <c r="BI50" i="2"/>
  <c r="BH50" i="2"/>
  <c r="BG50" i="2"/>
  <c r="BF50" i="2"/>
  <c r="AF50" i="2"/>
  <c r="G50" i="2"/>
  <c r="DZ49" i="2"/>
  <c r="DW49" i="2"/>
  <c r="DU49" i="2"/>
  <c r="DS49" i="2"/>
  <c r="DR49" i="2"/>
  <c r="DQ49" i="2"/>
  <c r="DP49" i="2"/>
  <c r="DN49" i="2"/>
  <c r="DM49" i="2"/>
  <c r="DL49" i="2"/>
  <c r="DK49" i="2"/>
  <c r="DJ49" i="2"/>
  <c r="DI49" i="2"/>
  <c r="DH49" i="2"/>
  <c r="DG49" i="2"/>
  <c r="DF49" i="2"/>
  <c r="DE49" i="2"/>
  <c r="DD49" i="2"/>
  <c r="CY49" i="2"/>
  <c r="CW49" i="2"/>
  <c r="DV49" i="2" s="1"/>
  <c r="CU49" i="2"/>
  <c r="DT49" i="2" s="1"/>
  <c r="CP49" i="2"/>
  <c r="CB49" i="2"/>
  <c r="BY49" i="2"/>
  <c r="BW49" i="2"/>
  <c r="BU49" i="2"/>
  <c r="BT49" i="2"/>
  <c r="BS49" i="2"/>
  <c r="BR49" i="2"/>
  <c r="BP49" i="2"/>
  <c r="BO49" i="2"/>
  <c r="BN49" i="2"/>
  <c r="BM49" i="2"/>
  <c r="BL49" i="2"/>
  <c r="BK49" i="2"/>
  <c r="BJ49" i="2"/>
  <c r="BI49" i="2"/>
  <c r="BH49" i="2"/>
  <c r="BG49" i="2"/>
  <c r="BF49" i="2"/>
  <c r="BA49" i="2"/>
  <c r="AY49" i="2"/>
  <c r="BX49" i="2" s="1"/>
  <c r="AW49" i="2"/>
  <c r="AR49" i="2"/>
  <c r="AB49" i="2"/>
  <c r="S49" i="2"/>
  <c r="DZ48" i="2"/>
  <c r="DX48" i="2"/>
  <c r="DW48" i="2"/>
  <c r="DV48" i="2"/>
  <c r="DU48" i="2"/>
  <c r="DT48" i="2"/>
  <c r="DS48" i="2"/>
  <c r="DR48" i="2"/>
  <c r="DQ48" i="2"/>
  <c r="DP48" i="2"/>
  <c r="DO48" i="2"/>
  <c r="DN48" i="2"/>
  <c r="DM48" i="2"/>
  <c r="DL48" i="2"/>
  <c r="DK48" i="2"/>
  <c r="DJ48" i="2"/>
  <c r="DI48" i="2"/>
  <c r="DH48" i="2"/>
  <c r="DG48" i="2"/>
  <c r="DF48" i="2"/>
  <c r="DE48" i="2"/>
  <c r="DD48" i="2"/>
  <c r="CD48" i="2"/>
  <c r="CB48" i="2"/>
  <c r="BZ48" i="2"/>
  <c r="BY48" i="2"/>
  <c r="BX48" i="2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J48" i="2"/>
  <c r="BI48" i="2"/>
  <c r="BH48" i="2"/>
  <c r="BG48" i="2"/>
  <c r="BF48" i="2"/>
  <c r="AF48" i="2"/>
  <c r="G48" i="2"/>
  <c r="DX47" i="2"/>
  <c r="DW47" i="2"/>
  <c r="DV47" i="2"/>
  <c r="DU47" i="2"/>
  <c r="DT47" i="2"/>
  <c r="DS47" i="2"/>
  <c r="DR47" i="2"/>
  <c r="DQ47" i="2"/>
  <c r="DP47" i="2"/>
  <c r="DO47" i="2"/>
  <c r="DN47" i="2"/>
  <c r="DM47" i="2"/>
  <c r="DL47" i="2"/>
  <c r="DJ47" i="2"/>
  <c r="DI47" i="2"/>
  <c r="DH47" i="2"/>
  <c r="DG47" i="2"/>
  <c r="DF47" i="2"/>
  <c r="DE47" i="2"/>
  <c r="DD47" i="2"/>
  <c r="CL47" i="2"/>
  <c r="BZ47" i="2"/>
  <c r="BY47" i="2"/>
  <c r="BX47" i="2"/>
  <c r="BW47" i="2"/>
  <c r="BV47" i="2"/>
  <c r="BU47" i="2"/>
  <c r="BT47" i="2"/>
  <c r="BS47" i="2"/>
  <c r="BR47" i="2"/>
  <c r="BQ47" i="2"/>
  <c r="BP47" i="2"/>
  <c r="BO47" i="2"/>
  <c r="BN47" i="2"/>
  <c r="BL47" i="2"/>
  <c r="BK47" i="2"/>
  <c r="BJ47" i="2"/>
  <c r="BI47" i="2"/>
  <c r="BH47" i="2"/>
  <c r="BG47" i="2"/>
  <c r="BF47" i="2"/>
  <c r="BC47" i="2"/>
  <c r="AN47" i="2"/>
  <c r="AD47" i="2"/>
  <c r="O47" i="2"/>
  <c r="DZ46" i="2"/>
  <c r="DX46" i="2"/>
  <c r="DW46" i="2"/>
  <c r="DU46" i="2"/>
  <c r="DT46" i="2"/>
  <c r="DS46" i="2"/>
  <c r="DR46" i="2"/>
  <c r="DQ46" i="2"/>
  <c r="DP46" i="2"/>
  <c r="DO46" i="2"/>
  <c r="DN46" i="2"/>
  <c r="DM46" i="2"/>
  <c r="DL46" i="2"/>
  <c r="DJ46" i="2"/>
  <c r="DI46" i="2"/>
  <c r="DH46" i="2"/>
  <c r="DG46" i="2"/>
  <c r="DF46" i="2"/>
  <c r="DE46" i="2"/>
  <c r="DD46" i="2"/>
  <c r="CL46" i="2"/>
  <c r="DK46" i="2" s="1"/>
  <c r="CB46" i="2"/>
  <c r="BZ46" i="2"/>
  <c r="BY46" i="2"/>
  <c r="BW46" i="2"/>
  <c r="BV46" i="2"/>
  <c r="BU46" i="2"/>
  <c r="BT46" i="2"/>
  <c r="BS46" i="2"/>
  <c r="BR46" i="2"/>
  <c r="BQ46" i="2"/>
  <c r="BP46" i="2"/>
  <c r="BO46" i="2"/>
  <c r="BN46" i="2"/>
  <c r="BL46" i="2"/>
  <c r="BK46" i="2"/>
  <c r="BJ46" i="2"/>
  <c r="BI46" i="2"/>
  <c r="BH46" i="2"/>
  <c r="BG46" i="2"/>
  <c r="BF46" i="2"/>
  <c r="AY46" i="2"/>
  <c r="BX46" i="2" s="1"/>
  <c r="AN46" i="2"/>
  <c r="G46" i="2"/>
  <c r="DX45" i="2"/>
  <c r="DW45" i="2"/>
  <c r="DU45" i="2"/>
  <c r="DT45" i="2"/>
  <c r="DS45" i="2"/>
  <c r="DO45" i="2"/>
  <c r="DN45" i="2"/>
  <c r="DM45" i="2"/>
  <c r="DL45" i="2"/>
  <c r="DK45" i="2"/>
  <c r="DJ45" i="2"/>
  <c r="DI45" i="2"/>
  <c r="DH45" i="2"/>
  <c r="DG45" i="2"/>
  <c r="DF45" i="2"/>
  <c r="DE45" i="2"/>
  <c r="DD45" i="2"/>
  <c r="DA45" i="2"/>
  <c r="CW45" i="2"/>
  <c r="DV45" i="2" s="1"/>
  <c r="CS45" i="2"/>
  <c r="CR45" i="2"/>
  <c r="DQ45" i="2" s="1"/>
  <c r="CQ45" i="2"/>
  <c r="BZ45" i="2"/>
  <c r="BY45" i="2"/>
  <c r="BW45" i="2"/>
  <c r="BV45" i="2"/>
  <c r="BU45" i="2"/>
  <c r="BQ45" i="2"/>
  <c r="BP45" i="2"/>
  <c r="BO45" i="2"/>
  <c r="BN45" i="2"/>
  <c r="BM45" i="2"/>
  <c r="BL45" i="2"/>
  <c r="BK45" i="2"/>
  <c r="BJ45" i="2"/>
  <c r="BI45" i="2"/>
  <c r="BH45" i="2"/>
  <c r="BG45" i="2"/>
  <c r="BF45" i="2"/>
  <c r="BC45" i="2"/>
  <c r="AY45" i="2"/>
  <c r="BX45" i="2" s="1"/>
  <c r="AU45" i="2"/>
  <c r="AT45" i="2"/>
  <c r="AS45" i="2"/>
  <c r="AS151" i="2" s="1"/>
  <c r="AD45" i="2"/>
  <c r="V45" i="2"/>
  <c r="V81" i="2" s="1"/>
  <c r="DZ44" i="2"/>
  <c r="DX44" i="2"/>
  <c r="DW44" i="2"/>
  <c r="DU44" i="2"/>
  <c r="DT44" i="2"/>
  <c r="DS44" i="2"/>
  <c r="DR44" i="2"/>
  <c r="DQ44" i="2"/>
  <c r="DP44" i="2"/>
  <c r="DO44" i="2"/>
  <c r="DN44" i="2"/>
  <c r="DM44" i="2"/>
  <c r="DL44" i="2"/>
  <c r="DJ44" i="2"/>
  <c r="DI44" i="2"/>
  <c r="DH44" i="2"/>
  <c r="DG44" i="2"/>
  <c r="DF44" i="2"/>
  <c r="DE44" i="2"/>
  <c r="DD44" i="2"/>
  <c r="CW44" i="2"/>
  <c r="CB44" i="2"/>
  <c r="BZ44" i="2"/>
  <c r="BY44" i="2"/>
  <c r="BW44" i="2"/>
  <c r="BV44" i="2"/>
  <c r="BU44" i="2"/>
  <c r="BT44" i="2"/>
  <c r="BS44" i="2"/>
  <c r="BR44" i="2"/>
  <c r="BQ44" i="2"/>
  <c r="BP44" i="2"/>
  <c r="BO44" i="2"/>
  <c r="BN44" i="2"/>
  <c r="BL44" i="2"/>
  <c r="BK44" i="2"/>
  <c r="BJ44" i="2"/>
  <c r="BI44" i="2"/>
  <c r="BH44" i="2"/>
  <c r="BG44" i="2"/>
  <c r="BF44" i="2"/>
  <c r="AY44" i="2"/>
  <c r="AN44" i="2"/>
  <c r="BM44" i="2" s="1"/>
  <c r="Z44" i="2"/>
  <c r="DX43" i="2"/>
  <c r="DW43" i="2"/>
  <c r="DV43" i="2"/>
  <c r="DU43" i="2"/>
  <c r="DT43" i="2"/>
  <c r="DS43" i="2"/>
  <c r="DR43" i="2"/>
  <c r="DQ43" i="2"/>
  <c r="DP43" i="2"/>
  <c r="DO43" i="2"/>
  <c r="DN43" i="2"/>
  <c r="DM43" i="2"/>
  <c r="DL43" i="2"/>
  <c r="DJ43" i="2"/>
  <c r="DI43" i="2"/>
  <c r="DH43" i="2"/>
  <c r="DG43" i="2"/>
  <c r="DF43" i="2"/>
  <c r="DE43" i="2"/>
  <c r="DD43" i="2"/>
  <c r="DA43" i="2"/>
  <c r="BZ43" i="2"/>
  <c r="BY43" i="2"/>
  <c r="BX43" i="2"/>
  <c r="BW43" i="2"/>
  <c r="BV43" i="2"/>
  <c r="BU43" i="2"/>
  <c r="BT43" i="2"/>
  <c r="BS43" i="2"/>
  <c r="BR43" i="2"/>
  <c r="BQ43" i="2"/>
  <c r="BP43" i="2"/>
  <c r="BO43" i="2"/>
  <c r="BN43" i="2"/>
  <c r="BL43" i="2"/>
  <c r="BK43" i="2"/>
  <c r="BJ43" i="2"/>
  <c r="BI43" i="2"/>
  <c r="BH43" i="2"/>
  <c r="BG43" i="2"/>
  <c r="BF43" i="2"/>
  <c r="BC43" i="2"/>
  <c r="AN43" i="2"/>
  <c r="AD43" i="2"/>
  <c r="O43" i="2"/>
  <c r="DZ42" i="2"/>
  <c r="DX42" i="2"/>
  <c r="DW42" i="2"/>
  <c r="DU42" i="2"/>
  <c r="DT42" i="2"/>
  <c r="DS42" i="2"/>
  <c r="DR42" i="2"/>
  <c r="DQ42" i="2"/>
  <c r="DP42" i="2"/>
  <c r="DO42" i="2"/>
  <c r="DN42" i="2"/>
  <c r="DM42" i="2"/>
  <c r="DL42" i="2"/>
  <c r="DJ42" i="2"/>
  <c r="DI42" i="2"/>
  <c r="DH42" i="2"/>
  <c r="DG42" i="2"/>
  <c r="DF42" i="2"/>
  <c r="DE42" i="2"/>
  <c r="DD42" i="2"/>
  <c r="CL42" i="2"/>
  <c r="CD42" i="2" s="1"/>
  <c r="CB42" i="2"/>
  <c r="BZ42" i="2"/>
  <c r="BY42" i="2"/>
  <c r="BW42" i="2"/>
  <c r="BV42" i="2"/>
  <c r="BU42" i="2"/>
  <c r="BT42" i="2"/>
  <c r="BS42" i="2"/>
  <c r="BR42" i="2"/>
  <c r="BP42" i="2"/>
  <c r="BO42" i="2"/>
  <c r="BN42" i="2"/>
  <c r="BL42" i="2"/>
  <c r="BK42" i="2"/>
  <c r="BJ42" i="2"/>
  <c r="BI42" i="2"/>
  <c r="BH42" i="2"/>
  <c r="BG42" i="2"/>
  <c r="BF42" i="2"/>
  <c r="AY42" i="2"/>
  <c r="AR42" i="2"/>
  <c r="BQ42" i="2" s="1"/>
  <c r="AN42" i="2"/>
  <c r="Z42" i="2"/>
  <c r="O42" i="2"/>
  <c r="DZ41" i="2"/>
  <c r="DX41" i="2"/>
  <c r="DW41" i="2"/>
  <c r="DV41" i="2"/>
  <c r="DU41" i="2"/>
  <c r="DT41" i="2"/>
  <c r="DS41" i="2"/>
  <c r="DR41" i="2"/>
  <c r="DQ41" i="2"/>
  <c r="DP41" i="2"/>
  <c r="DO41" i="2"/>
  <c r="DN41" i="2"/>
  <c r="DM41" i="2"/>
  <c r="DL41" i="2"/>
  <c r="DJ41" i="2"/>
  <c r="DI41" i="2"/>
  <c r="DH41" i="2"/>
  <c r="DG41" i="2"/>
  <c r="DF41" i="2"/>
  <c r="DE41" i="2"/>
  <c r="DD41" i="2"/>
  <c r="CL41" i="2"/>
  <c r="CD41" i="2" s="1"/>
  <c r="CB41" i="2"/>
  <c r="BZ41" i="2"/>
  <c r="BY41" i="2"/>
  <c r="BX41" i="2"/>
  <c r="BW41" i="2"/>
  <c r="BV41" i="2"/>
  <c r="BU41" i="2"/>
  <c r="BT41" i="2"/>
  <c r="BS41" i="2"/>
  <c r="BR41" i="2"/>
  <c r="BQ41" i="2"/>
  <c r="BP41" i="2"/>
  <c r="BO41" i="2"/>
  <c r="BN41" i="2"/>
  <c r="BL41" i="2"/>
  <c r="BK41" i="2"/>
  <c r="BJ41" i="2"/>
  <c r="BI41" i="2"/>
  <c r="BH41" i="2"/>
  <c r="BG41" i="2"/>
  <c r="BF41" i="2"/>
  <c r="AN41" i="2"/>
  <c r="O41" i="2"/>
  <c r="G41" i="2" s="1"/>
  <c r="CY40" i="2"/>
  <c r="CX40" i="2"/>
  <c r="CW40" i="2"/>
  <c r="CS40" i="2"/>
  <c r="CR40" i="2"/>
  <c r="CQ40" i="2"/>
  <c r="CP40" i="2"/>
  <c r="CO40" i="2"/>
  <c r="CM40" i="2"/>
  <c r="CJ40" i="2"/>
  <c r="CI40" i="2"/>
  <c r="CE40" i="2"/>
  <c r="BA40" i="2"/>
  <c r="AZ40" i="2"/>
  <c r="AY40" i="2"/>
  <c r="AU40" i="2"/>
  <c r="AT40" i="2"/>
  <c r="AS40" i="2"/>
  <c r="AR40" i="2"/>
  <c r="AQ40" i="2"/>
  <c r="AO40" i="2"/>
  <c r="AL40" i="2"/>
  <c r="AK40" i="2"/>
  <c r="AG40" i="2"/>
  <c r="AC40" i="2"/>
  <c r="AB40" i="2"/>
  <c r="AA40" i="2"/>
  <c r="Z40" i="2"/>
  <c r="W40" i="2"/>
  <c r="V40" i="2"/>
  <c r="T40" i="2"/>
  <c r="S40" i="2"/>
  <c r="R40" i="2"/>
  <c r="Q40" i="2"/>
  <c r="O40" i="2"/>
  <c r="N40" i="2"/>
  <c r="M40" i="2"/>
  <c r="L40" i="2"/>
  <c r="K40" i="2"/>
  <c r="J40" i="2"/>
  <c r="H40" i="2"/>
  <c r="DZ39" i="2"/>
  <c r="DX39" i="2"/>
  <c r="DW39" i="2"/>
  <c r="DV39" i="2"/>
  <c r="DU39" i="2"/>
  <c r="DS39" i="2"/>
  <c r="DR39" i="2"/>
  <c r="DQ39" i="2"/>
  <c r="DP39" i="2"/>
  <c r="DO39" i="2"/>
  <c r="DN39" i="2"/>
  <c r="DM39" i="2"/>
  <c r="DL39" i="2"/>
  <c r="DK39" i="2"/>
  <c r="DJ39" i="2"/>
  <c r="DI39" i="2"/>
  <c r="DH39" i="2"/>
  <c r="DG39" i="2"/>
  <c r="DF39" i="2"/>
  <c r="DE39" i="2"/>
  <c r="DD39" i="2"/>
  <c r="CU39" i="2"/>
  <c r="DT39" i="2" s="1"/>
  <c r="CB39" i="2"/>
  <c r="BZ39" i="2"/>
  <c r="BY39" i="2"/>
  <c r="BX39" i="2"/>
  <c r="BW39" i="2"/>
  <c r="BU39" i="2"/>
  <c r="BT39" i="2"/>
  <c r="BS39" i="2"/>
  <c r="BR39" i="2"/>
  <c r="BQ39" i="2"/>
  <c r="BP39" i="2"/>
  <c r="BO39" i="2"/>
  <c r="BN39" i="2"/>
  <c r="BM39" i="2"/>
  <c r="BL39" i="2"/>
  <c r="BK39" i="2"/>
  <c r="BJ39" i="2"/>
  <c r="BI39" i="2"/>
  <c r="BH39" i="2"/>
  <c r="BG39" i="2"/>
  <c r="BF39" i="2"/>
  <c r="AW39" i="2"/>
  <c r="BV39" i="2" s="1"/>
  <c r="G39" i="2"/>
  <c r="DZ38" i="2"/>
  <c r="DX38" i="2"/>
  <c r="DW38" i="2"/>
  <c r="DV38" i="2"/>
  <c r="DU38" i="2"/>
  <c r="DS38" i="2"/>
  <c r="DR38" i="2"/>
  <c r="DQ38" i="2"/>
  <c r="DP38" i="2"/>
  <c r="DO38" i="2"/>
  <c r="DN38" i="2"/>
  <c r="DM38" i="2"/>
  <c r="DL38" i="2"/>
  <c r="DK38" i="2"/>
  <c r="DJ38" i="2"/>
  <c r="DI38" i="2"/>
  <c r="DH38" i="2"/>
  <c r="DG38" i="2"/>
  <c r="DF38" i="2"/>
  <c r="DE38" i="2"/>
  <c r="DD38" i="2"/>
  <c r="CU38" i="2"/>
  <c r="DT38" i="2" s="1"/>
  <c r="CB38" i="2"/>
  <c r="BZ38" i="2"/>
  <c r="BY38" i="2"/>
  <c r="BX38" i="2"/>
  <c r="BW38" i="2"/>
  <c r="BU38" i="2"/>
  <c r="BT38" i="2"/>
  <c r="BS38" i="2"/>
  <c r="BR38" i="2"/>
  <c r="BQ38" i="2"/>
  <c r="BP38" i="2"/>
  <c r="BO38" i="2"/>
  <c r="BN38" i="2"/>
  <c r="BM38" i="2"/>
  <c r="BL38" i="2"/>
  <c r="BK38" i="2"/>
  <c r="BJ38" i="2"/>
  <c r="BI38" i="2"/>
  <c r="BH38" i="2"/>
  <c r="BG38" i="2"/>
  <c r="BF38" i="2"/>
  <c r="AW38" i="2"/>
  <c r="G38" i="2"/>
  <c r="DZ37" i="2"/>
  <c r="DX37" i="2"/>
  <c r="DW37" i="2"/>
  <c r="DV37" i="2"/>
  <c r="DU37" i="2"/>
  <c r="DT37" i="2"/>
  <c r="DS37" i="2"/>
  <c r="DR37" i="2"/>
  <c r="DQ37" i="2"/>
  <c r="DP37" i="2"/>
  <c r="DO37" i="2"/>
  <c r="DN37" i="2"/>
  <c r="DM37" i="2"/>
  <c r="DL37" i="2"/>
  <c r="DK37" i="2"/>
  <c r="DJ37" i="2"/>
  <c r="DI37" i="2"/>
  <c r="DH37" i="2"/>
  <c r="DG37" i="2"/>
  <c r="DF37" i="2"/>
  <c r="DE37" i="2"/>
  <c r="DD37" i="2"/>
  <c r="CD37" i="2"/>
  <c r="CB37" i="2"/>
  <c r="BZ37" i="2"/>
  <c r="BY37" i="2"/>
  <c r="BX37" i="2"/>
  <c r="BW37" i="2"/>
  <c r="BU37" i="2"/>
  <c r="BT37" i="2"/>
  <c r="BS37" i="2"/>
  <c r="BR37" i="2"/>
  <c r="BQ37" i="2"/>
  <c r="BP37" i="2"/>
  <c r="BO37" i="2"/>
  <c r="BN37" i="2"/>
  <c r="BM37" i="2"/>
  <c r="BL37" i="2"/>
  <c r="BK37" i="2"/>
  <c r="BJ37" i="2"/>
  <c r="BI37" i="2"/>
  <c r="BH37" i="2"/>
  <c r="BG37" i="2"/>
  <c r="BF37" i="2"/>
  <c r="AW37" i="2"/>
  <c r="BV37" i="2" s="1"/>
  <c r="G37" i="2"/>
  <c r="DX36" i="2"/>
  <c r="DW36" i="2"/>
  <c r="DV36" i="2"/>
  <c r="DU36" i="2"/>
  <c r="DT36" i="2"/>
  <c r="DR36" i="2"/>
  <c r="DP36" i="2"/>
  <c r="DO36" i="2"/>
  <c r="DN36" i="2"/>
  <c r="DM36" i="2"/>
  <c r="DI36" i="2"/>
  <c r="DH36" i="2"/>
  <c r="DG36" i="2"/>
  <c r="DF36" i="2"/>
  <c r="DE36" i="2"/>
  <c r="DD36" i="2"/>
  <c r="DA36" i="2"/>
  <c r="CT36" i="2"/>
  <c r="CT40" i="2" s="1"/>
  <c r="CL36" i="2"/>
  <c r="CK36" i="2"/>
  <c r="CK148" i="2" s="1"/>
  <c r="BZ36" i="2"/>
  <c r="BY36" i="2"/>
  <c r="BX36" i="2"/>
  <c r="BW36" i="2"/>
  <c r="BV36" i="2"/>
  <c r="BT36" i="2"/>
  <c r="BR36" i="2"/>
  <c r="BQ36" i="2"/>
  <c r="BP36" i="2"/>
  <c r="BO36" i="2"/>
  <c r="BK36" i="2"/>
  <c r="BJ36" i="2"/>
  <c r="BI36" i="2"/>
  <c r="BH36" i="2"/>
  <c r="BG36" i="2"/>
  <c r="BF36" i="2"/>
  <c r="BC36" i="2"/>
  <c r="AV36" i="2"/>
  <c r="AN36" i="2"/>
  <c r="AM36" i="2"/>
  <c r="AM148" i="2" s="1"/>
  <c r="AD36" i="2"/>
  <c r="U36" i="2"/>
  <c r="P36" i="2"/>
  <c r="DX35" i="2"/>
  <c r="DW35" i="2"/>
  <c r="DV35" i="2"/>
  <c r="DS35" i="2"/>
  <c r="DR35" i="2"/>
  <c r="DQ35" i="2"/>
  <c r="DP35" i="2"/>
  <c r="DO35" i="2"/>
  <c r="DN35" i="2"/>
  <c r="DM35" i="2"/>
  <c r="DL35" i="2"/>
  <c r="DK35" i="2"/>
  <c r="DJ35" i="2"/>
  <c r="DI35" i="2"/>
  <c r="DH35" i="2"/>
  <c r="DG35" i="2"/>
  <c r="DF35" i="2"/>
  <c r="DD35" i="2"/>
  <c r="CV35" i="2"/>
  <c r="CU35" i="2"/>
  <c r="DT35" i="2" s="1"/>
  <c r="CF35" i="2"/>
  <c r="BZ35" i="2"/>
  <c r="BY35" i="2"/>
  <c r="BX35" i="2"/>
  <c r="BU35" i="2"/>
  <c r="BT35" i="2"/>
  <c r="BS35" i="2"/>
  <c r="BR35" i="2"/>
  <c r="BQ35" i="2"/>
  <c r="BP35" i="2"/>
  <c r="BO35" i="2"/>
  <c r="BN35" i="2"/>
  <c r="BM35" i="2"/>
  <c r="BL35" i="2"/>
  <c r="BK35" i="2"/>
  <c r="BJ35" i="2"/>
  <c r="BI35" i="2"/>
  <c r="BH35" i="2"/>
  <c r="BF35" i="2"/>
  <c r="BC35" i="2"/>
  <c r="AX35" i="2"/>
  <c r="AW35" i="2"/>
  <c r="BV35" i="2" s="1"/>
  <c r="AH35" i="2"/>
  <c r="AD35" i="2"/>
  <c r="Y35" i="2"/>
  <c r="I35" i="2"/>
  <c r="DZ34" i="2"/>
  <c r="DX34" i="2"/>
  <c r="DW34" i="2"/>
  <c r="DV34" i="2"/>
  <c r="DT34" i="2"/>
  <c r="DS34" i="2"/>
  <c r="DR34" i="2"/>
  <c r="DQ34" i="2"/>
  <c r="DP34" i="2"/>
  <c r="DO34" i="2"/>
  <c r="DN34" i="2"/>
  <c r="DM34" i="2"/>
  <c r="DL34" i="2"/>
  <c r="DK34" i="2"/>
  <c r="DJ34" i="2"/>
  <c r="DI34" i="2"/>
  <c r="DH34" i="2"/>
  <c r="DG34" i="2"/>
  <c r="DF34" i="2"/>
  <c r="DD34" i="2"/>
  <c r="CF34" i="2"/>
  <c r="CB34" i="2"/>
  <c r="BZ34" i="2"/>
  <c r="BY34" i="2"/>
  <c r="BX34" i="2"/>
  <c r="BV34" i="2"/>
  <c r="BU34" i="2"/>
  <c r="BT34" i="2"/>
  <c r="BS34" i="2"/>
  <c r="BR34" i="2"/>
  <c r="BQ34" i="2"/>
  <c r="BP34" i="2"/>
  <c r="BO34" i="2"/>
  <c r="BN34" i="2"/>
  <c r="BM34" i="2"/>
  <c r="BL34" i="2"/>
  <c r="BK34" i="2"/>
  <c r="BJ34" i="2"/>
  <c r="BI34" i="2"/>
  <c r="BH34" i="2"/>
  <c r="BF34" i="2"/>
  <c r="AH34" i="2"/>
  <c r="AF34" i="2" s="1"/>
  <c r="Y34" i="2"/>
  <c r="I34" i="2"/>
  <c r="DX33" i="2"/>
  <c r="DW33" i="2"/>
  <c r="DV33" i="2"/>
  <c r="DU33" i="2"/>
  <c r="DT33" i="2"/>
  <c r="DS33" i="2"/>
  <c r="DR33" i="2"/>
  <c r="DQ33" i="2"/>
  <c r="DP33" i="2"/>
  <c r="DO33" i="2"/>
  <c r="DN33" i="2"/>
  <c r="DM33" i="2"/>
  <c r="DL33" i="2"/>
  <c r="DK33" i="2"/>
  <c r="DJ33" i="2"/>
  <c r="DI33" i="2"/>
  <c r="DH33" i="2"/>
  <c r="DG33" i="2"/>
  <c r="DF33" i="2"/>
  <c r="DD33" i="2"/>
  <c r="DA33" i="2"/>
  <c r="CF33" i="2"/>
  <c r="DE33" i="2" s="1"/>
  <c r="BZ33" i="2"/>
  <c r="BY33" i="2"/>
  <c r="BX33" i="2"/>
  <c r="BW33" i="2"/>
  <c r="BV33" i="2"/>
  <c r="BU33" i="2"/>
  <c r="BT33" i="2"/>
  <c r="BS33" i="2"/>
  <c r="BR33" i="2"/>
  <c r="BQ33" i="2"/>
  <c r="BP33" i="2"/>
  <c r="BO33" i="2"/>
  <c r="BN33" i="2"/>
  <c r="BM33" i="2"/>
  <c r="BL33" i="2"/>
  <c r="BK33" i="2"/>
  <c r="BJ33" i="2"/>
  <c r="BI33" i="2"/>
  <c r="BH33" i="2"/>
  <c r="BF33" i="2"/>
  <c r="BC33" i="2"/>
  <c r="AH33" i="2"/>
  <c r="BG33" i="2" s="1"/>
  <c r="AD33" i="2"/>
  <c r="G33" i="2" s="1"/>
  <c r="DZ32" i="2"/>
  <c r="DX32" i="2"/>
  <c r="DW32" i="2"/>
  <c r="DV32" i="2"/>
  <c r="DU32" i="2"/>
  <c r="DT32" i="2"/>
  <c r="DS32" i="2"/>
  <c r="DR32" i="2"/>
  <c r="DQ32" i="2"/>
  <c r="DP32" i="2"/>
  <c r="DO32" i="2"/>
  <c r="DN32" i="2"/>
  <c r="DM32" i="2"/>
  <c r="DL32" i="2"/>
  <c r="DK32" i="2"/>
  <c r="DJ32" i="2"/>
  <c r="DI32" i="2"/>
  <c r="DH32" i="2"/>
  <c r="DG32" i="2"/>
  <c r="DF32" i="2"/>
  <c r="DE32" i="2"/>
  <c r="DD32" i="2"/>
  <c r="CD32" i="2"/>
  <c r="CB32" i="2"/>
  <c r="BZ32" i="2"/>
  <c r="BY32" i="2"/>
  <c r="BX32" i="2"/>
  <c r="BW32" i="2"/>
  <c r="BV32" i="2"/>
  <c r="BU32" i="2"/>
  <c r="BT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BF32" i="2"/>
  <c r="AH32" i="2"/>
  <c r="G32" i="2"/>
  <c r="DZ31" i="2"/>
  <c r="DX31" i="2"/>
  <c r="DW31" i="2"/>
  <c r="DV31" i="2"/>
  <c r="DU31" i="2"/>
  <c r="DS31" i="2"/>
  <c r="DR31" i="2"/>
  <c r="DQ31" i="2"/>
  <c r="DP31" i="2"/>
  <c r="DO31" i="2"/>
  <c r="DN31" i="2"/>
  <c r="DM31" i="2"/>
  <c r="DL31" i="2"/>
  <c r="DK31" i="2"/>
  <c r="DJ31" i="2"/>
  <c r="DI31" i="2"/>
  <c r="DH31" i="2"/>
  <c r="DG31" i="2"/>
  <c r="DF31" i="2"/>
  <c r="DD31" i="2"/>
  <c r="CU31" i="2"/>
  <c r="DT31" i="2" s="1"/>
  <c r="CF31" i="2"/>
  <c r="DE31" i="2" s="1"/>
  <c r="CB31" i="2"/>
  <c r="BZ31" i="2"/>
  <c r="BY31" i="2"/>
  <c r="BX31" i="2"/>
  <c r="BW31" i="2"/>
  <c r="BU31" i="2"/>
  <c r="BT31" i="2"/>
  <c r="BS31" i="2"/>
  <c r="BR31" i="2"/>
  <c r="BQ31" i="2"/>
  <c r="BP31" i="2"/>
  <c r="BO31" i="2"/>
  <c r="BN31" i="2"/>
  <c r="BM31" i="2"/>
  <c r="BL31" i="2"/>
  <c r="BK31" i="2"/>
  <c r="BJ31" i="2"/>
  <c r="BI31" i="2"/>
  <c r="BH31" i="2"/>
  <c r="BF31" i="2"/>
  <c r="BD31" i="2"/>
  <c r="AW31" i="2"/>
  <c r="BV31" i="2" s="1"/>
  <c r="AH31" i="2"/>
  <c r="G31" i="2"/>
  <c r="DZ30" i="2"/>
  <c r="DX30" i="2"/>
  <c r="DW30" i="2"/>
  <c r="DV30" i="2"/>
  <c r="DU30" i="2"/>
  <c r="DT30" i="2"/>
  <c r="DS30" i="2"/>
  <c r="DR30" i="2"/>
  <c r="DQ30" i="2"/>
  <c r="DP30" i="2"/>
  <c r="DO30" i="2"/>
  <c r="DN30" i="2"/>
  <c r="DM30" i="2"/>
  <c r="DL30" i="2"/>
  <c r="DK30" i="2"/>
  <c r="DJ30" i="2"/>
  <c r="DI30" i="2"/>
  <c r="DH30" i="2"/>
  <c r="DG30" i="2"/>
  <c r="DF30" i="2"/>
  <c r="DE30" i="2"/>
  <c r="DD30" i="2"/>
  <c r="CD30" i="2"/>
  <c r="CB30" i="2"/>
  <c r="BZ30" i="2"/>
  <c r="BY30" i="2"/>
  <c r="BX30" i="2"/>
  <c r="BW30" i="2"/>
  <c r="BV30" i="2"/>
  <c r="BU30" i="2"/>
  <c r="BT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AF30" i="2"/>
  <c r="G30" i="2"/>
  <c r="DX29" i="2"/>
  <c r="DW29" i="2"/>
  <c r="DV29" i="2"/>
  <c r="DU29" i="2"/>
  <c r="DT29" i="2"/>
  <c r="DS29" i="2"/>
  <c r="DR29" i="2"/>
  <c r="DQ29" i="2"/>
  <c r="DP29" i="2"/>
  <c r="DO29" i="2"/>
  <c r="DN29" i="2"/>
  <c r="DM29" i="2"/>
  <c r="DL29" i="2"/>
  <c r="DK29" i="2"/>
  <c r="DJ29" i="2"/>
  <c r="DI29" i="2"/>
  <c r="DH29" i="2"/>
  <c r="DG29" i="2"/>
  <c r="DF29" i="2"/>
  <c r="DD29" i="2"/>
  <c r="DA29" i="2"/>
  <c r="CF29" i="2" s="1"/>
  <c r="CD29" i="2" s="1"/>
  <c r="BZ29" i="2"/>
  <c r="BY29" i="2"/>
  <c r="BX29" i="2"/>
  <c r="BW29" i="2"/>
  <c r="BV29" i="2"/>
  <c r="BU29" i="2"/>
  <c r="BT29" i="2"/>
  <c r="BS29" i="2"/>
  <c r="BR29" i="2"/>
  <c r="BQ29" i="2"/>
  <c r="BP29" i="2"/>
  <c r="BO29" i="2"/>
  <c r="BN29" i="2"/>
  <c r="BM29" i="2"/>
  <c r="BL29" i="2"/>
  <c r="BK29" i="2"/>
  <c r="BJ29" i="2"/>
  <c r="BI29" i="2"/>
  <c r="BH29" i="2"/>
  <c r="BF29" i="2"/>
  <c r="BC29" i="2"/>
  <c r="AH29" i="2"/>
  <c r="AD29" i="2"/>
  <c r="I29" i="2"/>
  <c r="DX28" i="2"/>
  <c r="DW28" i="2"/>
  <c r="DV28" i="2"/>
  <c r="DU28" i="2"/>
  <c r="DT28" i="2"/>
  <c r="DS28" i="2"/>
  <c r="DR28" i="2"/>
  <c r="DQ28" i="2"/>
  <c r="DP28" i="2"/>
  <c r="DO28" i="2"/>
  <c r="DN28" i="2"/>
  <c r="DM28" i="2"/>
  <c r="DL28" i="2"/>
  <c r="DK28" i="2"/>
  <c r="DJ28" i="2"/>
  <c r="DI28" i="2"/>
  <c r="DH28" i="2"/>
  <c r="DG28" i="2"/>
  <c r="DF28" i="2"/>
  <c r="DE28" i="2"/>
  <c r="DD28" i="2"/>
  <c r="CD28" i="2"/>
  <c r="CB28" i="2"/>
  <c r="BZ28" i="2"/>
  <c r="BY28" i="2"/>
  <c r="BX28" i="2"/>
  <c r="BW28" i="2"/>
  <c r="BV28" i="2"/>
  <c r="BU28" i="2"/>
  <c r="BT28" i="2"/>
  <c r="BS28" i="2"/>
  <c r="BR28" i="2"/>
  <c r="BQ28" i="2"/>
  <c r="BP28" i="2"/>
  <c r="BO28" i="2"/>
  <c r="BN28" i="2"/>
  <c r="BM28" i="2"/>
  <c r="BL28" i="2"/>
  <c r="BK28" i="2"/>
  <c r="BJ28" i="2"/>
  <c r="BI28" i="2"/>
  <c r="BH28" i="2"/>
  <c r="BG28" i="2"/>
  <c r="BF28" i="2"/>
  <c r="AF28" i="2"/>
  <c r="AD28" i="2"/>
  <c r="DZ28" i="2" s="1"/>
  <c r="G28" i="2"/>
  <c r="DX27" i="2"/>
  <c r="DW27" i="2"/>
  <c r="DV27" i="2"/>
  <c r="DU27" i="2"/>
  <c r="DT27" i="2"/>
  <c r="DS27" i="2"/>
  <c r="DR27" i="2"/>
  <c r="DQ27" i="2"/>
  <c r="DP27" i="2"/>
  <c r="DO27" i="2"/>
  <c r="DN27" i="2"/>
  <c r="DM27" i="2"/>
  <c r="DL27" i="2"/>
  <c r="DK27" i="2"/>
  <c r="DJ27" i="2"/>
  <c r="DI27" i="2"/>
  <c r="DH27" i="2"/>
  <c r="DG27" i="2"/>
  <c r="DF27" i="2"/>
  <c r="DD27" i="2"/>
  <c r="CF27" i="2"/>
  <c r="BZ27" i="2"/>
  <c r="BY27" i="2"/>
  <c r="BX27" i="2"/>
  <c r="BW27" i="2"/>
  <c r="BV27" i="2"/>
  <c r="BU27" i="2"/>
  <c r="BT27" i="2"/>
  <c r="BS27" i="2"/>
  <c r="BR27" i="2"/>
  <c r="BQ27" i="2"/>
  <c r="BP27" i="2"/>
  <c r="BO27" i="2"/>
  <c r="BN27" i="2"/>
  <c r="BM27" i="2"/>
  <c r="BL27" i="2"/>
  <c r="BK27" i="2"/>
  <c r="BJ27" i="2"/>
  <c r="BI27" i="2"/>
  <c r="BH27" i="2"/>
  <c r="BF27" i="2"/>
  <c r="BC27" i="2"/>
  <c r="AH27" i="2"/>
  <c r="AD27" i="2"/>
  <c r="I27" i="2"/>
  <c r="DZ26" i="2"/>
  <c r="DX26" i="2"/>
  <c r="DW26" i="2"/>
  <c r="DV26" i="2"/>
  <c r="DU26" i="2"/>
  <c r="DT26" i="2"/>
  <c r="DS26" i="2"/>
  <c r="DR26" i="2"/>
  <c r="DQ26" i="2"/>
  <c r="DP26" i="2"/>
  <c r="DO26" i="2"/>
  <c r="DN26" i="2"/>
  <c r="DM26" i="2"/>
  <c r="DL26" i="2"/>
  <c r="DK26" i="2"/>
  <c r="DJ26" i="2"/>
  <c r="DI26" i="2"/>
  <c r="DH26" i="2"/>
  <c r="DG26" i="2"/>
  <c r="DD26" i="2"/>
  <c r="CG26" i="2"/>
  <c r="CF26" i="2" s="1"/>
  <c r="DE26" i="2" s="1"/>
  <c r="CB26" i="2"/>
  <c r="BZ26" i="2"/>
  <c r="BY26" i="2"/>
  <c r="BX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F26" i="2"/>
  <c r="AI26" i="2"/>
  <c r="BH26" i="2" s="1"/>
  <c r="AH26" i="2"/>
  <c r="BG26" i="2" s="1"/>
  <c r="G26" i="2"/>
  <c r="DZ25" i="2"/>
  <c r="DX25" i="2"/>
  <c r="DW25" i="2"/>
  <c r="DV25" i="2"/>
  <c r="DU25" i="2"/>
  <c r="DT25" i="2"/>
  <c r="DS25" i="2"/>
  <c r="DR25" i="2"/>
  <c r="DQ25" i="2"/>
  <c r="DP25" i="2"/>
  <c r="DO25" i="2"/>
  <c r="DN25" i="2"/>
  <c r="DM25" i="2"/>
  <c r="DL25" i="2"/>
  <c r="DK25" i="2"/>
  <c r="DJ25" i="2"/>
  <c r="DI25" i="2"/>
  <c r="DH25" i="2"/>
  <c r="DG25" i="2"/>
  <c r="DF25" i="2"/>
  <c r="DD25" i="2"/>
  <c r="CF25" i="2"/>
  <c r="CB25" i="2"/>
  <c r="BZ25" i="2"/>
  <c r="BY25" i="2"/>
  <c r="BX25" i="2"/>
  <c r="BW25" i="2"/>
  <c r="BV25" i="2"/>
  <c r="BU25" i="2"/>
  <c r="BT25" i="2"/>
  <c r="BS25" i="2"/>
  <c r="BR25" i="2"/>
  <c r="BQ25" i="2"/>
  <c r="BP25" i="2"/>
  <c r="BO25" i="2"/>
  <c r="BN25" i="2"/>
  <c r="BM25" i="2"/>
  <c r="BL25" i="2"/>
  <c r="BK25" i="2"/>
  <c r="BJ25" i="2"/>
  <c r="BI25" i="2"/>
  <c r="BH25" i="2"/>
  <c r="BF25" i="2"/>
  <c r="AH25" i="2"/>
  <c r="G25" i="2"/>
  <c r="DZ24" i="2"/>
  <c r="DX24" i="2"/>
  <c r="DW24" i="2"/>
  <c r="DV24" i="2"/>
  <c r="DU24" i="2"/>
  <c r="DT24" i="2"/>
  <c r="DS24" i="2"/>
  <c r="DR24" i="2"/>
  <c r="DQ24" i="2"/>
  <c r="DP24" i="2"/>
  <c r="DO24" i="2"/>
  <c r="DN24" i="2"/>
  <c r="DM24" i="2"/>
  <c r="DL24" i="2"/>
  <c r="DK24" i="2"/>
  <c r="DJ24" i="2"/>
  <c r="DI24" i="2"/>
  <c r="DH24" i="2"/>
  <c r="DG24" i="2"/>
  <c r="DD24" i="2"/>
  <c r="CG24" i="2"/>
  <c r="DF24" i="2" s="1"/>
  <c r="CF24" i="2"/>
  <c r="CB24" i="2"/>
  <c r="BZ24" i="2"/>
  <c r="BY24" i="2"/>
  <c r="BX24" i="2"/>
  <c r="BW24" i="2"/>
  <c r="BV24" i="2"/>
  <c r="BU24" i="2"/>
  <c r="BT24" i="2"/>
  <c r="BS24" i="2"/>
  <c r="BR24" i="2"/>
  <c r="BQ24" i="2"/>
  <c r="BP24" i="2"/>
  <c r="BO24" i="2"/>
  <c r="BN24" i="2"/>
  <c r="BM24" i="2"/>
  <c r="BL24" i="2"/>
  <c r="BK24" i="2"/>
  <c r="BJ24" i="2"/>
  <c r="BI24" i="2"/>
  <c r="BF24" i="2"/>
  <c r="AI24" i="2"/>
  <c r="AH24" i="2"/>
  <c r="BG24" i="2" s="1"/>
  <c r="G24" i="2"/>
  <c r="DZ23" i="2"/>
  <c r="DX23" i="2"/>
  <c r="DW23" i="2"/>
  <c r="DV23" i="2"/>
  <c r="DU23" i="2"/>
  <c r="DT23" i="2"/>
  <c r="DS23" i="2"/>
  <c r="DR23" i="2"/>
  <c r="DQ23" i="2"/>
  <c r="DP23" i="2"/>
  <c r="DO23" i="2"/>
  <c r="DN23" i="2"/>
  <c r="DM23" i="2"/>
  <c r="DL23" i="2"/>
  <c r="DK23" i="2"/>
  <c r="DJ23" i="2"/>
  <c r="DI23" i="2"/>
  <c r="DH23" i="2"/>
  <c r="DG23" i="2"/>
  <c r="DD23" i="2"/>
  <c r="CG23" i="2"/>
  <c r="CF23" i="2"/>
  <c r="DE23" i="2" s="1"/>
  <c r="CB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I23" i="2"/>
  <c r="BF23" i="2"/>
  <c r="AI23" i="2"/>
  <c r="BH23" i="2" s="1"/>
  <c r="AH23" i="2"/>
  <c r="BG23" i="2" s="1"/>
  <c r="G23" i="2"/>
  <c r="DZ22" i="2"/>
  <c r="DX22" i="2"/>
  <c r="DW22" i="2"/>
  <c r="DV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G22" i="2"/>
  <c r="DD22" i="2"/>
  <c r="CG22" i="2"/>
  <c r="CF22" i="2"/>
  <c r="DE22" i="2" s="1"/>
  <c r="CB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F22" i="2"/>
  <c r="AI22" i="2"/>
  <c r="AH22" i="2"/>
  <c r="BG22" i="2" s="1"/>
  <c r="G22" i="2"/>
  <c r="DZ21" i="2"/>
  <c r="DX21" i="2"/>
  <c r="DW21" i="2"/>
  <c r="DV21" i="2"/>
  <c r="DU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G21" i="2"/>
  <c r="DF21" i="2"/>
  <c r="DE21" i="2"/>
  <c r="DD21" i="2"/>
  <c r="CU21" i="2"/>
  <c r="DT21" i="2" s="1"/>
  <c r="BZ21" i="2"/>
  <c r="BY21" i="2"/>
  <c r="BX21" i="2"/>
  <c r="BW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BG21" i="2"/>
  <c r="BF21" i="2"/>
  <c r="BC21" i="2"/>
  <c r="CB21" i="2" s="1"/>
  <c r="AW21" i="2"/>
  <c r="G21" i="2"/>
  <c r="DZ20" i="2"/>
  <c r="DX20" i="2"/>
  <c r="DW20" i="2"/>
  <c r="DV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DE20" i="2"/>
  <c r="DD20" i="2"/>
  <c r="CD20" i="2"/>
  <c r="CB20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BG20" i="2"/>
  <c r="BF20" i="2"/>
  <c r="AF20" i="2"/>
  <c r="G20" i="2"/>
  <c r="CC20" i="2" s="1"/>
  <c r="DB20" i="2" s="1"/>
  <c r="DZ19" i="2"/>
  <c r="DX19" i="2"/>
  <c r="DW19" i="2"/>
  <c r="DV19" i="2"/>
  <c r="DU19" i="2"/>
  <c r="DS19" i="2"/>
  <c r="DR19" i="2"/>
  <c r="DQ19" i="2"/>
  <c r="DP19" i="2"/>
  <c r="DO19" i="2"/>
  <c r="DN19" i="2"/>
  <c r="DM19" i="2"/>
  <c r="DL19" i="2"/>
  <c r="DK19" i="2"/>
  <c r="DJ19" i="2"/>
  <c r="DI19" i="2"/>
  <c r="DH19" i="2"/>
  <c r="DG19" i="2"/>
  <c r="DF19" i="2"/>
  <c r="DE19" i="2"/>
  <c r="DD19" i="2"/>
  <c r="CU19" i="2"/>
  <c r="DT19" i="2" s="1"/>
  <c r="CB19" i="2"/>
  <c r="BZ19" i="2"/>
  <c r="BY19" i="2"/>
  <c r="BX19" i="2"/>
  <c r="BW19" i="2"/>
  <c r="BU19" i="2"/>
  <c r="BT19" i="2"/>
  <c r="BS19" i="2"/>
  <c r="BR19" i="2"/>
  <c r="BQ19" i="2"/>
  <c r="BP19" i="2"/>
  <c r="BO19" i="2"/>
  <c r="BN19" i="2"/>
  <c r="BM19" i="2"/>
  <c r="BL19" i="2"/>
  <c r="BK19" i="2"/>
  <c r="BJ19" i="2"/>
  <c r="BI19" i="2"/>
  <c r="BH19" i="2"/>
  <c r="BG19" i="2"/>
  <c r="BF19" i="2"/>
  <c r="AW19" i="2"/>
  <c r="AF19" i="2" s="1"/>
  <c r="G19" i="2"/>
  <c r="DX18" i="2"/>
  <c r="DW18" i="2"/>
  <c r="DV18" i="2"/>
  <c r="DU18" i="2"/>
  <c r="DT18" i="2"/>
  <c r="DS18" i="2"/>
  <c r="DR18" i="2"/>
  <c r="DQ18" i="2"/>
  <c r="DP18" i="2"/>
  <c r="DO18" i="2"/>
  <c r="DN18" i="2"/>
  <c r="DM18" i="2"/>
  <c r="DL18" i="2"/>
  <c r="DK18" i="2"/>
  <c r="DJ18" i="2"/>
  <c r="DI18" i="2"/>
  <c r="DH18" i="2"/>
  <c r="DG18" i="2"/>
  <c r="DF18" i="2"/>
  <c r="DD18" i="2"/>
  <c r="DA18" i="2"/>
  <c r="BZ18" i="2"/>
  <c r="BY18" i="2"/>
  <c r="BX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BF18" i="2"/>
  <c r="BC18" i="2"/>
  <c r="AH18" i="2"/>
  <c r="AD18" i="2"/>
  <c r="DG17" i="2"/>
  <c r="DC17" i="2" s="1"/>
  <c r="CD17" i="2"/>
  <c r="BI17" i="2"/>
  <c r="BE17" i="2" s="1"/>
  <c r="BD17" i="2"/>
  <c r="G17" i="2"/>
  <c r="DZ16" i="2"/>
  <c r="DX16" i="2"/>
  <c r="DW16" i="2"/>
  <c r="DV16" i="2"/>
  <c r="DU16" i="2"/>
  <c r="DT16" i="2"/>
  <c r="DS16" i="2"/>
  <c r="DR16" i="2"/>
  <c r="DQ16" i="2"/>
  <c r="DP16" i="2"/>
  <c r="DO16" i="2"/>
  <c r="DN16" i="2"/>
  <c r="DM16" i="2"/>
  <c r="DL16" i="2"/>
  <c r="DK16" i="2"/>
  <c r="DJ16" i="2"/>
  <c r="DI16" i="2"/>
  <c r="DH16" i="2"/>
  <c r="DG16" i="2"/>
  <c r="DF16" i="2"/>
  <c r="DD16" i="2"/>
  <c r="CF16" i="2"/>
  <c r="CD16" i="2" s="1"/>
  <c r="CB16" i="2"/>
  <c r="BZ16" i="2"/>
  <c r="BY16" i="2"/>
  <c r="BX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I16" i="2"/>
  <c r="BH16" i="2"/>
  <c r="BF16" i="2"/>
  <c r="AH16" i="2"/>
  <c r="AF16" i="2" s="1"/>
  <c r="G16" i="2"/>
  <c r="DG15" i="2"/>
  <c r="DC15" i="2"/>
  <c r="CD15" i="2"/>
  <c r="BI15" i="2"/>
  <c r="BE15" i="2" s="1"/>
  <c r="AF15" i="2"/>
  <c r="G15" i="2"/>
  <c r="DZ14" i="2"/>
  <c r="DX14" i="2"/>
  <c r="DW14" i="2"/>
  <c r="DV14" i="2"/>
  <c r="DU14" i="2"/>
  <c r="DS14" i="2"/>
  <c r="DR14" i="2"/>
  <c r="DQ14" i="2"/>
  <c r="DP14" i="2"/>
  <c r="DO14" i="2"/>
  <c r="DN14" i="2"/>
  <c r="DM14" i="2"/>
  <c r="DL14" i="2"/>
  <c r="DK14" i="2"/>
  <c r="DJ14" i="2"/>
  <c r="DI14" i="2"/>
  <c r="DH14" i="2"/>
  <c r="DG14" i="2"/>
  <c r="DF14" i="2"/>
  <c r="DE14" i="2"/>
  <c r="DD14" i="2"/>
  <c r="CD14" i="2"/>
  <c r="CB14" i="2"/>
  <c r="BZ14" i="2"/>
  <c r="BY14" i="2"/>
  <c r="BX14" i="2"/>
  <c r="BW14" i="2"/>
  <c r="BU14" i="2"/>
  <c r="BT14" i="2"/>
  <c r="BS14" i="2"/>
  <c r="BR14" i="2"/>
  <c r="BQ14" i="2"/>
  <c r="BP14" i="2"/>
  <c r="BO14" i="2"/>
  <c r="BN14" i="2"/>
  <c r="BM14" i="2"/>
  <c r="BL14" i="2"/>
  <c r="BK14" i="2"/>
  <c r="BJ14" i="2"/>
  <c r="BI14" i="2"/>
  <c r="BH14" i="2"/>
  <c r="BG14" i="2"/>
  <c r="BF14" i="2"/>
  <c r="AF14" i="2"/>
  <c r="X14" i="2"/>
  <c r="DZ13" i="2"/>
  <c r="DX13" i="2"/>
  <c r="DW13" i="2"/>
  <c r="DV13" i="2"/>
  <c r="DU13" i="2"/>
  <c r="DS13" i="2"/>
  <c r="DR13" i="2"/>
  <c r="DQ13" i="2"/>
  <c r="DP13" i="2"/>
  <c r="DO13" i="2"/>
  <c r="DN13" i="2"/>
  <c r="DM13" i="2"/>
  <c r="DL13" i="2"/>
  <c r="DK13" i="2"/>
  <c r="DJ13" i="2"/>
  <c r="DI13" i="2"/>
  <c r="DH13" i="2"/>
  <c r="DG13" i="2"/>
  <c r="DF13" i="2"/>
  <c r="DE13" i="2"/>
  <c r="DD13" i="2"/>
  <c r="CU13" i="2"/>
  <c r="DT13" i="2" s="1"/>
  <c r="CB13" i="2"/>
  <c r="BZ13" i="2"/>
  <c r="BY13" i="2"/>
  <c r="BX13" i="2"/>
  <c r="BW13" i="2"/>
  <c r="BU13" i="2"/>
  <c r="BT13" i="2"/>
  <c r="BS13" i="2"/>
  <c r="BR13" i="2"/>
  <c r="BQ13" i="2"/>
  <c r="BP13" i="2"/>
  <c r="BO13" i="2"/>
  <c r="BN13" i="2"/>
  <c r="BM13" i="2"/>
  <c r="BL13" i="2"/>
  <c r="BK13" i="2"/>
  <c r="BJ13" i="2"/>
  <c r="BI13" i="2"/>
  <c r="BH13" i="2"/>
  <c r="BG13" i="2"/>
  <c r="BF13" i="2"/>
  <c r="AW13" i="2"/>
  <c r="G13" i="2"/>
  <c r="DZ12" i="2"/>
  <c r="DX12" i="2"/>
  <c r="DW12" i="2"/>
  <c r="DV12" i="2"/>
  <c r="DU12" i="2"/>
  <c r="DT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G12" i="2"/>
  <c r="DF12" i="2"/>
  <c r="DE12" i="2"/>
  <c r="DD12" i="2"/>
  <c r="CZ12" i="2"/>
  <c r="CB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I12" i="2"/>
  <c r="BH12" i="2"/>
  <c r="BG12" i="2"/>
  <c r="BF12" i="2"/>
  <c r="BB12" i="2"/>
  <c r="AF12" i="2" s="1"/>
  <c r="G12" i="2"/>
  <c r="DY11" i="2"/>
  <c r="DX11" i="2"/>
  <c r="DW11" i="2"/>
  <c r="DV11" i="2"/>
  <c r="DU11" i="2"/>
  <c r="DS11" i="2"/>
  <c r="DR11" i="2"/>
  <c r="DQ11" i="2"/>
  <c r="DP11" i="2"/>
  <c r="DO11" i="2"/>
  <c r="DN11" i="2"/>
  <c r="DL11" i="2"/>
  <c r="DK11" i="2"/>
  <c r="DJ11" i="2"/>
  <c r="DI11" i="2"/>
  <c r="DH11" i="2"/>
  <c r="DG11" i="2"/>
  <c r="DF11" i="2"/>
  <c r="DE11" i="2"/>
  <c r="DD11" i="2"/>
  <c r="DA11" i="2"/>
  <c r="CU11" i="2"/>
  <c r="DT11" i="2" s="1"/>
  <c r="CN11" i="2"/>
  <c r="DM11" i="2" s="1"/>
  <c r="CA11" i="2"/>
  <c r="BZ11" i="2"/>
  <c r="BY11" i="2"/>
  <c r="BX11" i="2"/>
  <c r="BW11" i="2"/>
  <c r="BU11" i="2"/>
  <c r="BT11" i="2"/>
  <c r="BS11" i="2"/>
  <c r="BR11" i="2"/>
  <c r="BQ11" i="2"/>
  <c r="BP11" i="2"/>
  <c r="BN11" i="2"/>
  <c r="BM11" i="2"/>
  <c r="BL11" i="2"/>
  <c r="BK11" i="2"/>
  <c r="BJ11" i="2"/>
  <c r="BI11" i="2"/>
  <c r="BH11" i="2"/>
  <c r="BG11" i="2"/>
  <c r="BF11" i="2"/>
  <c r="BC11" i="2"/>
  <c r="AW11" i="2"/>
  <c r="BV11" i="2" s="1"/>
  <c r="AP11" i="2"/>
  <c r="BO11" i="2" s="1"/>
  <c r="AD11" i="2"/>
  <c r="G11" i="2" s="1"/>
  <c r="DZ10" i="2"/>
  <c r="DX10" i="2"/>
  <c r="DW10" i="2"/>
  <c r="DV10" i="2"/>
  <c r="DU10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G10" i="2"/>
  <c r="DF10" i="2"/>
  <c r="DE10" i="2"/>
  <c r="DD10" i="2"/>
  <c r="CU10" i="2"/>
  <c r="CD10" i="2" s="1"/>
  <c r="BW10" i="2"/>
  <c r="AW10" i="2"/>
  <c r="AF10" i="2" s="1"/>
  <c r="G10" i="2"/>
  <c r="DZ9" i="2"/>
  <c r="DX9" i="2"/>
  <c r="DW9" i="2"/>
  <c r="DV9" i="2"/>
  <c r="DU9" i="2"/>
  <c r="DS9" i="2"/>
  <c r="DR9" i="2"/>
  <c r="DQ9" i="2"/>
  <c r="DP9" i="2"/>
  <c r="DO9" i="2"/>
  <c r="DN9" i="2"/>
  <c r="DM9" i="2"/>
  <c r="DL9" i="2"/>
  <c r="DK9" i="2"/>
  <c r="DJ9" i="2"/>
  <c r="DI9" i="2"/>
  <c r="DH9" i="2"/>
  <c r="DG9" i="2"/>
  <c r="DF9" i="2"/>
  <c r="DE9" i="2"/>
  <c r="DD9" i="2"/>
  <c r="CU9" i="2"/>
  <c r="CD9" i="2" s="1"/>
  <c r="CB9" i="2"/>
  <c r="BZ9" i="2"/>
  <c r="BY9" i="2"/>
  <c r="BX9" i="2"/>
  <c r="BW9" i="2"/>
  <c r="BU9" i="2"/>
  <c r="BT9" i="2"/>
  <c r="BS9" i="2"/>
  <c r="BR9" i="2"/>
  <c r="BQ9" i="2"/>
  <c r="BP9" i="2"/>
  <c r="BO9" i="2"/>
  <c r="BN9" i="2"/>
  <c r="BM9" i="2"/>
  <c r="BL9" i="2"/>
  <c r="BK9" i="2"/>
  <c r="BJ9" i="2"/>
  <c r="BH9" i="2"/>
  <c r="BG9" i="2"/>
  <c r="BF9" i="2"/>
  <c r="AW9" i="2"/>
  <c r="AF9" i="2" s="1"/>
  <c r="G9" i="2"/>
  <c r="DZ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DE8" i="2"/>
  <c r="DD8" i="2"/>
  <c r="CD8" i="2"/>
  <c r="CB8" i="2"/>
  <c r="BZ8" i="2"/>
  <c r="BY8" i="2"/>
  <c r="BX8" i="2"/>
  <c r="BW8" i="2"/>
  <c r="BU8" i="2"/>
  <c r="BT8" i="2"/>
  <c r="BS8" i="2"/>
  <c r="BR8" i="2"/>
  <c r="BQ8" i="2"/>
  <c r="BP8" i="2"/>
  <c r="BO8" i="2"/>
  <c r="BN8" i="2"/>
  <c r="BM8" i="2"/>
  <c r="BL8" i="2"/>
  <c r="BK8" i="2"/>
  <c r="BJ8" i="2"/>
  <c r="BH8" i="2"/>
  <c r="BG8" i="2"/>
  <c r="BF8" i="2"/>
  <c r="AW8" i="2"/>
  <c r="AF8" i="2" s="1"/>
  <c r="G8" i="2"/>
  <c r="DZ7" i="2"/>
  <c r="DX7" i="2"/>
  <c r="DW7" i="2"/>
  <c r="DV7" i="2"/>
  <c r="DU7" i="2"/>
  <c r="DS7" i="2"/>
  <c r="DR7" i="2"/>
  <c r="DQ7" i="2"/>
  <c r="DP7" i="2"/>
  <c r="DO7" i="2"/>
  <c r="DN7" i="2"/>
  <c r="DM7" i="2"/>
  <c r="DL7" i="2"/>
  <c r="DK7" i="2"/>
  <c r="DJ7" i="2"/>
  <c r="DI7" i="2"/>
  <c r="DH7" i="2"/>
  <c r="DG7" i="2"/>
  <c r="DF7" i="2"/>
  <c r="DE7" i="2"/>
  <c r="DD7" i="2"/>
  <c r="CU7" i="2"/>
  <c r="CD7" i="2" s="1"/>
  <c r="CB7" i="2"/>
  <c r="BZ7" i="2"/>
  <c r="BY7" i="2"/>
  <c r="BX7" i="2"/>
  <c r="BW7" i="2"/>
  <c r="BU7" i="2"/>
  <c r="BT7" i="2"/>
  <c r="BS7" i="2"/>
  <c r="BR7" i="2"/>
  <c r="BQ7" i="2"/>
  <c r="BP7" i="2"/>
  <c r="BO7" i="2"/>
  <c r="BN7" i="2"/>
  <c r="BM7" i="2"/>
  <c r="BL7" i="2"/>
  <c r="BK7" i="2"/>
  <c r="BJ7" i="2"/>
  <c r="BH7" i="2"/>
  <c r="BG7" i="2"/>
  <c r="BF7" i="2"/>
  <c r="AW7" i="2"/>
  <c r="BV7" i="2" s="1"/>
  <c r="G7" i="2"/>
  <c r="DZ6" i="2"/>
  <c r="DX6" i="2"/>
  <c r="DW6" i="2"/>
  <c r="DV6" i="2"/>
  <c r="DU6" i="2"/>
  <c r="DS6" i="2"/>
  <c r="DR6" i="2"/>
  <c r="DQ6" i="2"/>
  <c r="DP6" i="2"/>
  <c r="DO6" i="2"/>
  <c r="DN6" i="2"/>
  <c r="DM6" i="2"/>
  <c r="DL6" i="2"/>
  <c r="DK6" i="2"/>
  <c r="DJ6" i="2"/>
  <c r="DI6" i="2"/>
  <c r="DH6" i="2"/>
  <c r="DG6" i="2"/>
  <c r="DF6" i="2"/>
  <c r="DE6" i="2"/>
  <c r="DD6" i="2"/>
  <c r="CU6" i="2"/>
  <c r="DT6" i="2" s="1"/>
  <c r="CB6" i="2"/>
  <c r="BZ6" i="2"/>
  <c r="BY6" i="2"/>
  <c r="BX6" i="2"/>
  <c r="BW6" i="2"/>
  <c r="BU6" i="2"/>
  <c r="BT6" i="2"/>
  <c r="BS6" i="2"/>
  <c r="BR6" i="2"/>
  <c r="BQ6" i="2"/>
  <c r="BP6" i="2"/>
  <c r="BO6" i="2"/>
  <c r="BN6" i="2"/>
  <c r="BM6" i="2"/>
  <c r="BL6" i="2"/>
  <c r="BK6" i="2"/>
  <c r="BJ6" i="2"/>
  <c r="BH6" i="2"/>
  <c r="BG6" i="2"/>
  <c r="BF6" i="2"/>
  <c r="AW6" i="2"/>
  <c r="BV6" i="2" s="1"/>
  <c r="G6" i="2"/>
  <c r="DX5" i="2"/>
  <c r="DW5" i="2"/>
  <c r="DV5" i="2"/>
  <c r="DU5" i="2"/>
  <c r="DS5" i="2"/>
  <c r="DR5" i="2"/>
  <c r="DQ5" i="2"/>
  <c r="DP5" i="2"/>
  <c r="DO5" i="2"/>
  <c r="DN5" i="2"/>
  <c r="DM5" i="2"/>
  <c r="DL5" i="2"/>
  <c r="DK5" i="2"/>
  <c r="DJ5" i="2"/>
  <c r="DI5" i="2"/>
  <c r="DH5" i="2"/>
  <c r="DG5" i="2"/>
  <c r="DF5" i="2"/>
  <c r="DE5" i="2"/>
  <c r="DD5" i="2"/>
  <c r="DA5" i="2"/>
  <c r="CU5" i="2"/>
  <c r="DT5" i="2" s="1"/>
  <c r="BZ5" i="2"/>
  <c r="BY5" i="2"/>
  <c r="BX5" i="2"/>
  <c r="BW5" i="2"/>
  <c r="BU5" i="2"/>
  <c r="BT5" i="2"/>
  <c r="BS5" i="2"/>
  <c r="BR5" i="2"/>
  <c r="BQ5" i="2"/>
  <c r="BP5" i="2"/>
  <c r="BO5" i="2"/>
  <c r="BN5" i="2"/>
  <c r="BM5" i="2"/>
  <c r="BL5" i="2"/>
  <c r="BK5" i="2"/>
  <c r="BJ5" i="2"/>
  <c r="BH5" i="2"/>
  <c r="BG5" i="2"/>
  <c r="BF5" i="2"/>
  <c r="BC5" i="2"/>
  <c r="AW5" i="2"/>
  <c r="BV5" i="2" s="1"/>
  <c r="AD5" i="2"/>
  <c r="G5" i="2" s="1"/>
  <c r="CD5" i="2" l="1"/>
  <c r="DZ29" i="2"/>
  <c r="BP127" i="2"/>
  <c r="DE93" i="2"/>
  <c r="CD83" i="2"/>
  <c r="CC83" i="2" s="1"/>
  <c r="AW87" i="2"/>
  <c r="AF87" i="2" s="1"/>
  <c r="AE87" i="2" s="1"/>
  <c r="BD87" i="2" s="1"/>
  <c r="CD19" i="2"/>
  <c r="AF26" i="2"/>
  <c r="AE26" i="2" s="1"/>
  <c r="BD26" i="2" s="1"/>
  <c r="G47" i="2"/>
  <c r="BQ64" i="2"/>
  <c r="DN67" i="2"/>
  <c r="DL124" i="2"/>
  <c r="DW147" i="2"/>
  <c r="EE54" i="2"/>
  <c r="CW149" i="2"/>
  <c r="AN147" i="2"/>
  <c r="EE115" i="2"/>
  <c r="EE72" i="2"/>
  <c r="G35" i="2"/>
  <c r="CB110" i="2"/>
  <c r="AF31" i="2"/>
  <c r="AF51" i="2"/>
  <c r="AE51" i="2" s="1"/>
  <c r="BD51" i="2" s="1"/>
  <c r="BX53" i="2"/>
  <c r="BM73" i="2"/>
  <c r="G91" i="2"/>
  <c r="CF96" i="2"/>
  <c r="CD96" i="2" s="1"/>
  <c r="CC114" i="2"/>
  <c r="EE92" i="2"/>
  <c r="AF114" i="2"/>
  <c r="AE114" i="2" s="1"/>
  <c r="BD114" i="2" s="1"/>
  <c r="CD13" i="2"/>
  <c r="CC13" i="2" s="1"/>
  <c r="DB13" i="2" s="1"/>
  <c r="DE35" i="2"/>
  <c r="AF55" i="2"/>
  <c r="AE55" i="2" s="1"/>
  <c r="BD55" i="2" s="1"/>
  <c r="CC37" i="2"/>
  <c r="DB37" i="2" s="1"/>
  <c r="DV74" i="2"/>
  <c r="AY122" i="2"/>
  <c r="CD128" i="2"/>
  <c r="DO72" i="2"/>
  <c r="DA150" i="2"/>
  <c r="BG31" i="2"/>
  <c r="BE31" i="2" s="1"/>
  <c r="DZ33" i="2"/>
  <c r="DC33" i="2" s="1"/>
  <c r="AE66" i="2"/>
  <c r="BD66" i="2" s="1"/>
  <c r="AE77" i="2"/>
  <c r="BD77" i="2" s="1"/>
  <c r="BS61" i="2"/>
  <c r="BX79" i="2"/>
  <c r="DV103" i="2"/>
  <c r="DZ123" i="2"/>
  <c r="DC123" i="2" s="1"/>
  <c r="DL127" i="2"/>
  <c r="DV78" i="2"/>
  <c r="CC10" i="2"/>
  <c r="DB10" i="2" s="1"/>
  <c r="CB27" i="2"/>
  <c r="AX122" i="2"/>
  <c r="DE147" i="2"/>
  <c r="G42" i="2"/>
  <c r="G141" i="2"/>
  <c r="CC141" i="2" s="1"/>
  <c r="CB18" i="2"/>
  <c r="AF21" i="2"/>
  <c r="AE21" i="2" s="1"/>
  <c r="BD21" i="2" s="1"/>
  <c r="CD26" i="2"/>
  <c r="CC26" i="2" s="1"/>
  <c r="DB26" i="2" s="1"/>
  <c r="AF27" i="2"/>
  <c r="AE30" i="2"/>
  <c r="BD30" i="2" s="1"/>
  <c r="P147" i="2"/>
  <c r="BJ148" i="2"/>
  <c r="DI147" i="2"/>
  <c r="AE138" i="2"/>
  <c r="BD138" i="2" s="1"/>
  <c r="DL122" i="2"/>
  <c r="DC115" i="2"/>
  <c r="AE88" i="2"/>
  <c r="BD88" i="2" s="1"/>
  <c r="AE69" i="2"/>
  <c r="BD69" i="2" s="1"/>
  <c r="DC6" i="2"/>
  <c r="CC32" i="2"/>
  <c r="DB32" i="2" s="1"/>
  <c r="AF73" i="2"/>
  <c r="CH122" i="2"/>
  <c r="CH145" i="2" s="1"/>
  <c r="CD6" i="2"/>
  <c r="CC6" i="2" s="1"/>
  <c r="DB6" i="2" s="1"/>
  <c r="AD150" i="2"/>
  <c r="G34" i="2"/>
  <c r="AE34" i="2" s="1"/>
  <c r="BD34" i="2" s="1"/>
  <c r="BK148" i="2"/>
  <c r="AF37" i="2"/>
  <c r="AE37" i="2" s="1"/>
  <c r="BD37" i="2" s="1"/>
  <c r="DV56" i="2"/>
  <c r="G62" i="2"/>
  <c r="CC77" i="2"/>
  <c r="AF97" i="2"/>
  <c r="CN147" i="2"/>
  <c r="DJ147" i="2"/>
  <c r="BW125" i="2"/>
  <c r="BW147" i="2" s="1"/>
  <c r="BJ125" i="2"/>
  <c r="BJ147" i="2" s="1"/>
  <c r="DZ125" i="2"/>
  <c r="DZ147" i="2" s="1"/>
  <c r="BE131" i="2"/>
  <c r="CC66" i="2"/>
  <c r="AE75" i="2"/>
  <c r="BD75" i="2" s="1"/>
  <c r="BM79" i="2"/>
  <c r="CB33" i="2"/>
  <c r="BE33" i="2" s="1"/>
  <c r="AK145" i="2"/>
  <c r="BK147" i="2"/>
  <c r="AE8" i="2"/>
  <c r="BD8" i="2" s="1"/>
  <c r="DC20" i="2"/>
  <c r="AF44" i="2"/>
  <c r="AF47" i="2"/>
  <c r="G61" i="2"/>
  <c r="DC75" i="2"/>
  <c r="CB84" i="2"/>
  <c r="BZ105" i="2"/>
  <c r="DT93" i="2"/>
  <c r="O143" i="2"/>
  <c r="BL147" i="2"/>
  <c r="DM126" i="2"/>
  <c r="CA127" i="2"/>
  <c r="BC148" i="2"/>
  <c r="DV42" i="2"/>
  <c r="DV55" i="2"/>
  <c r="CC96" i="2"/>
  <c r="DC50" i="2"/>
  <c r="BY147" i="2"/>
  <c r="DW148" i="2"/>
  <c r="M145" i="2"/>
  <c r="DZ62" i="2"/>
  <c r="DC62" i="2" s="1"/>
  <c r="DC69" i="2"/>
  <c r="CC88" i="2"/>
  <c r="BQ147" i="2"/>
  <c r="CB126" i="2"/>
  <c r="BM127" i="2"/>
  <c r="AF134" i="2"/>
  <c r="AE134" i="2" s="1"/>
  <c r="BD134" i="2" s="1"/>
  <c r="AC147" i="2"/>
  <c r="CC5" i="2"/>
  <c r="DB5" i="2" s="1"/>
  <c r="DA35" i="2"/>
  <c r="CD35" i="2" s="1"/>
  <c r="CC35" i="2" s="1"/>
  <c r="DB35" i="2" s="1"/>
  <c r="AF5" i="2"/>
  <c r="AE5" i="2" s="1"/>
  <c r="BD5" i="2" s="1"/>
  <c r="AE12" i="2"/>
  <c r="BD12" i="2" s="1"/>
  <c r="CD49" i="2"/>
  <c r="G79" i="2"/>
  <c r="CC79" i="2" s="1"/>
  <c r="CD118" i="2"/>
  <c r="DV147" i="2"/>
  <c r="CD136" i="2"/>
  <c r="CC136" i="2" s="1"/>
  <c r="BE139" i="2"/>
  <c r="DT88" i="2"/>
  <c r="DC88" i="2" s="1"/>
  <c r="AV105" i="2"/>
  <c r="AF103" i="2"/>
  <c r="AF56" i="2"/>
  <c r="AE56" i="2" s="1"/>
  <c r="BD56" i="2" s="1"/>
  <c r="DT7" i="2"/>
  <c r="DC7" i="2" s="1"/>
  <c r="BV8" i="2"/>
  <c r="BE8" i="2" s="1"/>
  <c r="BE23" i="2"/>
  <c r="CT148" i="2"/>
  <c r="DJ36" i="2"/>
  <c r="DJ148" i="2" s="1"/>
  <c r="AF43" i="2"/>
  <c r="AF64" i="2"/>
  <c r="CL78" i="2"/>
  <c r="CD78" i="2" s="1"/>
  <c r="AF80" i="2"/>
  <c r="DC83" i="2"/>
  <c r="CX107" i="2"/>
  <c r="CX149" i="2" s="1"/>
  <c r="CX154" i="2" s="1"/>
  <c r="DG118" i="2"/>
  <c r="DC118" i="2" s="1"/>
  <c r="CD119" i="2"/>
  <c r="CC119" i="2" s="1"/>
  <c r="CV122" i="2"/>
  <c r="BX130" i="2"/>
  <c r="BE130" i="2" s="1"/>
  <c r="AF137" i="2"/>
  <c r="AE137" i="2" s="1"/>
  <c r="BD137" i="2" s="1"/>
  <c r="AF142" i="2"/>
  <c r="AE142" i="2" s="1"/>
  <c r="BD142" i="2" s="1"/>
  <c r="BU147" i="2"/>
  <c r="BI132" i="2"/>
  <c r="BE132" i="2" s="1"/>
  <c r="DE16" i="2"/>
  <c r="DC16" i="2" s="1"/>
  <c r="BM55" i="2"/>
  <c r="CC137" i="2"/>
  <c r="AF7" i="2"/>
  <c r="AE7" i="2" s="1"/>
  <c r="BD7" i="2" s="1"/>
  <c r="BG27" i="2"/>
  <c r="CD31" i="2"/>
  <c r="CC31" i="2" s="1"/>
  <c r="DB31" i="2" s="1"/>
  <c r="AF33" i="2"/>
  <c r="AE33" i="2" s="1"/>
  <c r="BD33" i="2" s="1"/>
  <c r="DA148" i="2"/>
  <c r="CD39" i="2"/>
  <c r="CC39" i="2" s="1"/>
  <c r="DB39" i="2" s="1"/>
  <c r="CB45" i="2"/>
  <c r="AF107" i="2"/>
  <c r="AE107" i="2" s="1"/>
  <c r="BD107" i="2" s="1"/>
  <c r="DW116" i="2"/>
  <c r="DC116" i="2" s="1"/>
  <c r="AO147" i="2"/>
  <c r="DQ125" i="2"/>
  <c r="DQ147" i="2" s="1"/>
  <c r="BB148" i="2"/>
  <c r="BT127" i="2"/>
  <c r="BT148" i="2" s="1"/>
  <c r="CD135" i="2"/>
  <c r="CC135" i="2" s="1"/>
  <c r="AV147" i="2"/>
  <c r="AF89" i="2"/>
  <c r="BU89" i="2"/>
  <c r="BU153" i="2" s="1"/>
  <c r="AF108" i="2"/>
  <c r="BV88" i="2"/>
  <c r="BE88" i="2" s="1"/>
  <c r="CD11" i="2"/>
  <c r="CC11" i="2" s="1"/>
  <c r="DB11" i="2" s="1"/>
  <c r="BC150" i="2"/>
  <c r="CD24" i="2"/>
  <c r="CC24" i="2" s="1"/>
  <c r="DB24" i="2" s="1"/>
  <c r="CD38" i="2"/>
  <c r="CC38" i="2" s="1"/>
  <c r="DB38" i="2" s="1"/>
  <c r="BR45" i="2"/>
  <c r="BR81" i="2" s="1"/>
  <c r="BX74" i="2"/>
  <c r="BE74" i="2" s="1"/>
  <c r="CW76" i="2"/>
  <c r="CD76" i="2" s="1"/>
  <c r="AF112" i="2"/>
  <c r="DM125" i="2"/>
  <c r="CD126" i="2"/>
  <c r="CT153" i="2"/>
  <c r="CD89" i="2"/>
  <c r="DF23" i="2"/>
  <c r="DC23" i="2" s="1"/>
  <c r="CD23" i="2"/>
  <c r="CC23" i="2" s="1"/>
  <c r="DB23" i="2" s="1"/>
  <c r="CQ151" i="2"/>
  <c r="CQ154" i="2" s="1"/>
  <c r="DP45" i="2"/>
  <c r="DP151" i="2" s="1"/>
  <c r="AY105" i="2"/>
  <c r="G112" i="2"/>
  <c r="DZ112" i="2"/>
  <c r="DC112" i="2" s="1"/>
  <c r="CB112" i="2"/>
  <c r="BE112" i="2" s="1"/>
  <c r="DR153" i="2"/>
  <c r="DE110" i="2"/>
  <c r="DE122" i="2" s="1"/>
  <c r="G110" i="2"/>
  <c r="BM129" i="2"/>
  <c r="AF129" i="2"/>
  <c r="BG100" i="2"/>
  <c r="BE100" i="2" s="1"/>
  <c r="AF100" i="2"/>
  <c r="AE100" i="2" s="1"/>
  <c r="BD100" i="2" s="1"/>
  <c r="AA122" i="2"/>
  <c r="AA145" i="2" s="1"/>
  <c r="G108" i="2"/>
  <c r="BX55" i="2"/>
  <c r="DT99" i="2"/>
  <c r="BX103" i="2"/>
  <c r="BF119" i="2"/>
  <c r="BE119" i="2" s="1"/>
  <c r="AF119" i="2"/>
  <c r="AE119" i="2" s="1"/>
  <c r="BD119" i="2" s="1"/>
  <c r="DN40" i="2"/>
  <c r="DC30" i="2"/>
  <c r="BW35" i="2"/>
  <c r="AF133" i="2"/>
  <c r="AE133" i="2" s="1"/>
  <c r="BD133" i="2" s="1"/>
  <c r="BI133" i="2"/>
  <c r="BE133" i="2" s="1"/>
  <c r="G60" i="2"/>
  <c r="AE60" i="2" s="1"/>
  <c r="BD60" i="2" s="1"/>
  <c r="DK60" i="2"/>
  <c r="DC60" i="2" s="1"/>
  <c r="BM60" i="2"/>
  <c r="BE60" i="2" s="1"/>
  <c r="BQ105" i="2"/>
  <c r="CL147" i="2"/>
  <c r="BO125" i="2"/>
  <c r="AE50" i="2"/>
  <c r="BD50" i="2" s="1"/>
  <c r="DO105" i="2"/>
  <c r="CB51" i="2"/>
  <c r="DZ51" i="2"/>
  <c r="DC51" i="2" s="1"/>
  <c r="DE142" i="2"/>
  <c r="DC142" i="2" s="1"/>
  <c r="BV10" i="2"/>
  <c r="BE10" i="2" s="1"/>
  <c r="AF25" i="2"/>
  <c r="AE25" i="2" s="1"/>
  <c r="BD25" i="2" s="1"/>
  <c r="BG25" i="2"/>
  <c r="DF26" i="2"/>
  <c r="DC26" i="2" s="1"/>
  <c r="CB61" i="2"/>
  <c r="AE71" i="2"/>
  <c r="BD71" i="2" s="1"/>
  <c r="DE82" i="2"/>
  <c r="DA82" i="2"/>
  <c r="CD82" i="2" s="1"/>
  <c r="BW140" i="2"/>
  <c r="BE140" i="2" s="1"/>
  <c r="AF140" i="2"/>
  <c r="AE140" i="2" s="1"/>
  <c r="BD140" i="2" s="1"/>
  <c r="BK40" i="2"/>
  <c r="DG150" i="2"/>
  <c r="DE34" i="2"/>
  <c r="CD34" i="2"/>
  <c r="CC34" i="2" s="1"/>
  <c r="DB34" i="2" s="1"/>
  <c r="DS36" i="2"/>
  <c r="DS40" i="2" s="1"/>
  <c r="DC38" i="2"/>
  <c r="AF39" i="2"/>
  <c r="AE39" i="2" s="1"/>
  <c r="BD39" i="2" s="1"/>
  <c r="CK40" i="2"/>
  <c r="CK145" i="2" s="1"/>
  <c r="CB79" i="2"/>
  <c r="BN105" i="2"/>
  <c r="AN143" i="2"/>
  <c r="AV143" i="2"/>
  <c r="CZ148" i="2"/>
  <c r="CZ143" i="2"/>
  <c r="CC133" i="2"/>
  <c r="DU137" i="2"/>
  <c r="DC137" i="2" s="1"/>
  <c r="DC138" i="2"/>
  <c r="DC139" i="2"/>
  <c r="DU140" i="2"/>
  <c r="DC140" i="2" s="1"/>
  <c r="DE141" i="2"/>
  <c r="AF36" i="2"/>
  <c r="AN40" i="2"/>
  <c r="CP64" i="2"/>
  <c r="CD64" i="2" s="1"/>
  <c r="DV64" i="2"/>
  <c r="DC71" i="2"/>
  <c r="BQ49" i="2"/>
  <c r="G49" i="2"/>
  <c r="BV19" i="2"/>
  <c r="BE19" i="2" s="1"/>
  <c r="U148" i="2"/>
  <c r="DQ36" i="2"/>
  <c r="DQ40" i="2" s="1"/>
  <c r="G36" i="2"/>
  <c r="BS36" i="2"/>
  <c r="BS40" i="2" s="1"/>
  <c r="G45" i="2"/>
  <c r="DK47" i="2"/>
  <c r="BM47" i="2"/>
  <c r="DC114" i="2"/>
  <c r="CF122" i="2"/>
  <c r="DZ127" i="2"/>
  <c r="CB127" i="2"/>
  <c r="AM40" i="2"/>
  <c r="AM145" i="2" s="1"/>
  <c r="G52" i="2"/>
  <c r="AE52" i="2" s="1"/>
  <c r="BD52" i="2" s="1"/>
  <c r="BX52" i="2"/>
  <c r="BE52" i="2" s="1"/>
  <c r="DT10" i="2"/>
  <c r="DC10" i="2" s="1"/>
  <c r="DC19" i="2"/>
  <c r="DA27" i="2"/>
  <c r="CD27" i="2" s="1"/>
  <c r="DE27" i="2"/>
  <c r="CC50" i="2"/>
  <c r="CB128" i="2"/>
  <c r="DZ128" i="2"/>
  <c r="AE20" i="2"/>
  <c r="BD20" i="2" s="1"/>
  <c r="DO148" i="2"/>
  <c r="DV52" i="2"/>
  <c r="DC52" i="2" s="1"/>
  <c r="DL64" i="2"/>
  <c r="G94" i="2"/>
  <c r="AE94" i="2" s="1"/>
  <c r="BD94" i="2" s="1"/>
  <c r="BV94" i="2"/>
  <c r="BE94" i="2" s="1"/>
  <c r="DT94" i="2"/>
  <c r="DC94" i="2" s="1"/>
  <c r="DE100" i="2"/>
  <c r="DC100" i="2" s="1"/>
  <c r="Z122" i="2"/>
  <c r="BN126" i="2"/>
  <c r="DL126" i="2"/>
  <c r="CN151" i="2"/>
  <c r="CL67" i="2"/>
  <c r="CN81" i="2"/>
  <c r="DC68" i="2"/>
  <c r="AR81" i="2"/>
  <c r="AR145" i="2" s="1"/>
  <c r="BR122" i="2"/>
  <c r="BY40" i="2"/>
  <c r="BV9" i="2"/>
  <c r="BE9" i="2" s="1"/>
  <c r="DK36" i="2"/>
  <c r="DK40" i="2" s="1"/>
  <c r="CL40" i="2"/>
  <c r="K145" i="2"/>
  <c r="DA47" i="2"/>
  <c r="CD47" i="2" s="1"/>
  <c r="CC47" i="2" s="1"/>
  <c r="DC48" i="2"/>
  <c r="G53" i="2"/>
  <c r="CC53" i="2" s="1"/>
  <c r="DV53" i="2"/>
  <c r="DC53" i="2" s="1"/>
  <c r="BE71" i="2"/>
  <c r="DZ89" i="2"/>
  <c r="G89" i="2"/>
  <c r="CB89" i="2"/>
  <c r="DW113" i="2"/>
  <c r="DC113" i="2" s="1"/>
  <c r="CD113" i="2"/>
  <c r="CC113" i="2" s="1"/>
  <c r="DV130" i="2"/>
  <c r="DV143" i="2" s="1"/>
  <c r="Z143" i="2"/>
  <c r="Z148" i="2"/>
  <c r="DC8" i="2"/>
  <c r="BH24" i="2"/>
  <c r="AF24" i="2"/>
  <c r="AE24" i="2" s="1"/>
  <c r="BD24" i="2" s="1"/>
  <c r="DE24" i="2"/>
  <c r="DC24" i="2" s="1"/>
  <c r="CC28" i="2"/>
  <c r="DB28" i="2" s="1"/>
  <c r="CV152" i="2"/>
  <c r="CB36" i="2"/>
  <c r="AF42" i="2"/>
  <c r="CW46" i="2"/>
  <c r="CD46" i="2" s="1"/>
  <c r="AF53" i="2"/>
  <c r="DK55" i="2"/>
  <c r="CD55" i="2"/>
  <c r="CC55" i="2" s="1"/>
  <c r="BM57" i="2"/>
  <c r="BE57" i="2" s="1"/>
  <c r="AF62" i="2"/>
  <c r="BM62" i="2"/>
  <c r="BE62" i="2" s="1"/>
  <c r="BE66" i="2"/>
  <c r="AF84" i="2"/>
  <c r="AE84" i="2" s="1"/>
  <c r="BD84" i="2" s="1"/>
  <c r="DR105" i="2"/>
  <c r="BV111" i="2"/>
  <c r="BV149" i="2" s="1"/>
  <c r="DK125" i="2"/>
  <c r="BM125" i="2"/>
  <c r="U143" i="2"/>
  <c r="BS129" i="2"/>
  <c r="BS143" i="2" s="1"/>
  <c r="CF143" i="2"/>
  <c r="CB78" i="2"/>
  <c r="DZ79" i="2"/>
  <c r="DC79" i="2" s="1"/>
  <c r="AE92" i="2"/>
  <c r="BD92" i="2" s="1"/>
  <c r="Z153" i="2"/>
  <c r="CD97" i="2"/>
  <c r="Z105" i="2"/>
  <c r="BQ122" i="2"/>
  <c r="BW111" i="2"/>
  <c r="BW122" i="2" s="1"/>
  <c r="BP122" i="2"/>
  <c r="BE117" i="2"/>
  <c r="CH154" i="2"/>
  <c r="CW122" i="2"/>
  <c r="BU143" i="2"/>
  <c r="BF147" i="2"/>
  <c r="BS147" i="2"/>
  <c r="DT147" i="2"/>
  <c r="CB125" i="2"/>
  <c r="CB147" i="2" s="1"/>
  <c r="DY127" i="2"/>
  <c r="CB141" i="2"/>
  <c r="M154" i="2"/>
  <c r="DV40" i="2"/>
  <c r="AF11" i="2"/>
  <c r="AE11" i="2" s="1"/>
  <c r="BD11" i="2" s="1"/>
  <c r="BE26" i="2"/>
  <c r="CB29" i="2"/>
  <c r="BE30" i="2"/>
  <c r="CD33" i="2"/>
  <c r="CC33" i="2" s="1"/>
  <c r="DB33" i="2" s="1"/>
  <c r="BG34" i="2"/>
  <c r="BG35" i="2"/>
  <c r="BE50" i="2"/>
  <c r="DQ61" i="2"/>
  <c r="DQ151" i="2" s="1"/>
  <c r="BM78" i="2"/>
  <c r="DZ80" i="2"/>
  <c r="BV93" i="2"/>
  <c r="DC99" i="2"/>
  <c r="CD111" i="2"/>
  <c r="BE120" i="2"/>
  <c r="CO147" i="2"/>
  <c r="DK124" i="2"/>
  <c r="BI147" i="2"/>
  <c r="CD129" i="2"/>
  <c r="AH143" i="2"/>
  <c r="AF136" i="2"/>
  <c r="CC139" i="2"/>
  <c r="DU150" i="2"/>
  <c r="DC28" i="2"/>
  <c r="AF29" i="2"/>
  <c r="BF148" i="2"/>
  <c r="BQ148" i="2"/>
  <c r="BZ148" i="2"/>
  <c r="DX148" i="2"/>
  <c r="N145" i="2"/>
  <c r="CB47" i="2"/>
  <c r="BM76" i="2"/>
  <c r="DC92" i="2"/>
  <c r="CB104" i="2"/>
  <c r="BE104" i="2" s="1"/>
  <c r="CD112" i="2"/>
  <c r="CC112" i="2" s="1"/>
  <c r="DD147" i="2"/>
  <c r="DO147" i="2"/>
  <c r="CA125" i="2"/>
  <c r="CA147" i="2" s="1"/>
  <c r="BM126" i="2"/>
  <c r="AE131" i="2"/>
  <c r="BD131" i="2" s="1"/>
  <c r="AJ148" i="2"/>
  <c r="BE138" i="2"/>
  <c r="AE19" i="2"/>
  <c r="BD19" i="2" s="1"/>
  <c r="CC8" i="2"/>
  <c r="DB8" i="2" s="1"/>
  <c r="BH150" i="2"/>
  <c r="BP150" i="2"/>
  <c r="BX150" i="2"/>
  <c r="DF150" i="2"/>
  <c r="DN150" i="2"/>
  <c r="DV150" i="2"/>
  <c r="CC17" i="2"/>
  <c r="DB17" i="2" s="1"/>
  <c r="AF23" i="2"/>
  <c r="BE28" i="2"/>
  <c r="BG148" i="2"/>
  <c r="BR148" i="2"/>
  <c r="DG148" i="2"/>
  <c r="DK42" i="2"/>
  <c r="DZ45" i="2"/>
  <c r="CD56" i="2"/>
  <c r="CC56" i="2" s="1"/>
  <c r="G73" i="2"/>
  <c r="CB76" i="2"/>
  <c r="BR105" i="2"/>
  <c r="DV93" i="2"/>
  <c r="BG96" i="2"/>
  <c r="BX111" i="2"/>
  <c r="DU111" i="2"/>
  <c r="DU149" i="2" s="1"/>
  <c r="BN124" i="2"/>
  <c r="BZ147" i="2"/>
  <c r="DF143" i="2"/>
  <c r="DC131" i="2"/>
  <c r="DZ141" i="2"/>
  <c r="BC143" i="2"/>
  <c r="CO143" i="2"/>
  <c r="AK154" i="2"/>
  <c r="CR147" i="2"/>
  <c r="BV38" i="2"/>
  <c r="BE38" i="2" s="1"/>
  <c r="AF38" i="2"/>
  <c r="CL43" i="2"/>
  <c r="CO151" i="2"/>
  <c r="CL61" i="2"/>
  <c r="DN61" i="2"/>
  <c r="DN81" i="2" s="1"/>
  <c r="DN152" i="2"/>
  <c r="DM150" i="2"/>
  <c r="CD57" i="2"/>
  <c r="DK57" i="2"/>
  <c r="DC57" i="2" s="1"/>
  <c r="AQ151" i="2"/>
  <c r="BP61" i="2"/>
  <c r="AQ81" i="2"/>
  <c r="CC102" i="2"/>
  <c r="BR152" i="2"/>
  <c r="BR40" i="2"/>
  <c r="DG152" i="2"/>
  <c r="DG40" i="2"/>
  <c r="DW152" i="2"/>
  <c r="DW40" i="2"/>
  <c r="X152" i="2"/>
  <c r="BV14" i="2"/>
  <c r="BE14" i="2" s="1"/>
  <c r="X40" i="2"/>
  <c r="DT14" i="2"/>
  <c r="DC14" i="2" s="1"/>
  <c r="G14" i="2"/>
  <c r="BN152" i="2"/>
  <c r="BI40" i="2"/>
  <c r="CC15" i="2"/>
  <c r="DB15" i="2" s="1"/>
  <c r="AH152" i="2"/>
  <c r="CG152" i="2"/>
  <c r="CG154" i="2" s="1"/>
  <c r="CG40" i="2"/>
  <c r="CG145" i="2" s="1"/>
  <c r="DF22" i="2"/>
  <c r="DC22" i="2" s="1"/>
  <c r="G27" i="2"/>
  <c r="DE29" i="2"/>
  <c r="DC29" i="2" s="1"/>
  <c r="G29" i="2"/>
  <c r="CC30" i="2"/>
  <c r="DB30" i="2" s="1"/>
  <c r="DI40" i="2"/>
  <c r="AN151" i="2"/>
  <c r="AN81" i="2"/>
  <c r="BM41" i="2"/>
  <c r="BE41" i="2" s="1"/>
  <c r="AF41" i="2"/>
  <c r="DT151" i="2"/>
  <c r="DT81" i="2"/>
  <c r="DZ43" i="2"/>
  <c r="BE53" i="2"/>
  <c r="BM65" i="2"/>
  <c r="BE65" i="2" s="1"/>
  <c r="AF65" i="2"/>
  <c r="DE98" i="2"/>
  <c r="DC98" i="2" s="1"/>
  <c r="CD98" i="2"/>
  <c r="DQ149" i="2"/>
  <c r="DQ122" i="2"/>
  <c r="BY116" i="2"/>
  <c r="BE116" i="2" s="1"/>
  <c r="AF116" i="2"/>
  <c r="R148" i="2"/>
  <c r="DN126" i="2"/>
  <c r="BP126" i="2"/>
  <c r="DD152" i="2"/>
  <c r="DD40" i="2"/>
  <c r="DL152" i="2"/>
  <c r="AF6" i="2"/>
  <c r="DK150" i="2"/>
  <c r="DS150" i="2"/>
  <c r="CC19" i="2"/>
  <c r="DB19" i="2" s="1"/>
  <c r="BE20" i="2"/>
  <c r="BV21" i="2"/>
  <c r="BE21" i="2" s="1"/>
  <c r="DC21" i="2"/>
  <c r="AI152" i="2"/>
  <c r="AI154" i="2" s="1"/>
  <c r="AI40" i="2"/>
  <c r="AI145" i="2" s="1"/>
  <c r="BH22" i="2"/>
  <c r="BE22" i="2" s="1"/>
  <c r="I152" i="2"/>
  <c r="I40" i="2"/>
  <c r="DC31" i="2"/>
  <c r="AV148" i="2"/>
  <c r="BU36" i="2"/>
  <c r="BU148" i="2" s="1"/>
  <c r="AV40" i="2"/>
  <c r="BE39" i="2"/>
  <c r="G44" i="2"/>
  <c r="DV44" i="2"/>
  <c r="BX44" i="2"/>
  <c r="BE44" i="2" s="1"/>
  <c r="CL44" i="2"/>
  <c r="DU81" i="2"/>
  <c r="G58" i="2"/>
  <c r="AE58" i="2" s="1"/>
  <c r="BD58" i="2" s="1"/>
  <c r="DV58" i="2"/>
  <c r="DC58" i="2" s="1"/>
  <c r="BX58" i="2"/>
  <c r="AF61" i="2"/>
  <c r="DC63" i="2"/>
  <c r="R151" i="2"/>
  <c r="BP64" i="2"/>
  <c r="G64" i="2"/>
  <c r="R81" i="2"/>
  <c r="CC85" i="2"/>
  <c r="G103" i="2"/>
  <c r="CV147" i="2"/>
  <c r="CV143" i="2"/>
  <c r="AE23" i="2"/>
  <c r="BD23" i="2" s="1"/>
  <c r="DD81" i="2"/>
  <c r="CC59" i="2"/>
  <c r="AE59" i="2"/>
  <c r="BD59" i="2" s="1"/>
  <c r="CB64" i="2"/>
  <c r="DZ64" i="2"/>
  <c r="CB93" i="2"/>
  <c r="G93" i="2"/>
  <c r="DT101" i="2"/>
  <c r="DC101" i="2" s="1"/>
  <c r="BV101" i="2"/>
  <c r="BE101" i="2" s="1"/>
  <c r="G101" i="2"/>
  <c r="BJ150" i="2"/>
  <c r="BR150" i="2"/>
  <c r="BZ150" i="2"/>
  <c r="BG18" i="2"/>
  <c r="AF18" i="2"/>
  <c r="BG93" i="2"/>
  <c r="AF93" i="2"/>
  <c r="AH105" i="2"/>
  <c r="DH152" i="2"/>
  <c r="DH40" i="2"/>
  <c r="CB35" i="2"/>
  <c r="DU35" i="2"/>
  <c r="AT151" i="2"/>
  <c r="AT81" i="2"/>
  <c r="BS45" i="2"/>
  <c r="AF45" i="2"/>
  <c r="BM46" i="2"/>
  <c r="BE46" i="2" s="1"/>
  <c r="AF46" i="2"/>
  <c r="BX56" i="2"/>
  <c r="BE56" i="2" s="1"/>
  <c r="CO81" i="2"/>
  <c r="BH105" i="2"/>
  <c r="BP105" i="2"/>
  <c r="DP122" i="2"/>
  <c r="CU148" i="2"/>
  <c r="DT128" i="2"/>
  <c r="DT148" i="2" s="1"/>
  <c r="CU143" i="2"/>
  <c r="DZ129" i="2"/>
  <c r="CB129" i="2"/>
  <c r="BV13" i="2"/>
  <c r="AF13" i="2"/>
  <c r="BG32" i="2"/>
  <c r="BE32" i="2" s="1"/>
  <c r="AF32" i="2"/>
  <c r="Y152" i="2"/>
  <c r="Y40" i="2"/>
  <c r="BW34" i="2"/>
  <c r="DU34" i="2"/>
  <c r="BG151" i="2"/>
  <c r="BG81" i="2"/>
  <c r="DE151" i="2"/>
  <c r="DE81" i="2"/>
  <c r="CB103" i="2"/>
  <c r="DH147" i="2"/>
  <c r="BQ40" i="2"/>
  <c r="DV152" i="2"/>
  <c r="AE9" i="2"/>
  <c r="BD9" i="2" s="1"/>
  <c r="BY151" i="2"/>
  <c r="BY81" i="2"/>
  <c r="AE57" i="2"/>
  <c r="BD57" i="2" s="1"/>
  <c r="CW153" i="2"/>
  <c r="DV84" i="2"/>
  <c r="CW105" i="2"/>
  <c r="DA84" i="2"/>
  <c r="DZ84" i="2" s="1"/>
  <c r="BZ152" i="2"/>
  <c r="BZ40" i="2"/>
  <c r="BI151" i="2"/>
  <c r="BI81" i="2"/>
  <c r="AE48" i="2"/>
  <c r="BD48" i="2" s="1"/>
  <c r="CC48" i="2"/>
  <c r="DP152" i="2"/>
  <c r="DP40" i="2"/>
  <c r="CN152" i="2"/>
  <c r="CN40" i="2"/>
  <c r="CZ152" i="2"/>
  <c r="CZ40" i="2"/>
  <c r="CD12" i="2"/>
  <c r="DY12" i="2"/>
  <c r="DY40" i="2" s="1"/>
  <c r="BK150" i="2"/>
  <c r="DW150" i="2"/>
  <c r="BL152" i="2"/>
  <c r="BT152" i="2"/>
  <c r="BT40" i="2"/>
  <c r="AE16" i="2"/>
  <c r="BD16" i="2" s="1"/>
  <c r="BL150" i="2"/>
  <c r="BT150" i="2"/>
  <c r="CC16" i="2"/>
  <c r="DB16" i="2" s="1"/>
  <c r="BE37" i="2"/>
  <c r="CC41" i="2"/>
  <c r="CC42" i="2"/>
  <c r="CC51" i="2"/>
  <c r="AF128" i="2"/>
  <c r="AW148" i="2"/>
  <c r="BV128" i="2"/>
  <c r="AW143" i="2"/>
  <c r="BA151" i="2"/>
  <c r="BA154" i="2" s="1"/>
  <c r="BA81" i="2"/>
  <c r="BA145" i="2" s="1"/>
  <c r="W151" i="2"/>
  <c r="W154" i="2" s="1"/>
  <c r="W81" i="2"/>
  <c r="BU73" i="2"/>
  <c r="BU151" i="2" s="1"/>
  <c r="BE6" i="2"/>
  <c r="DF151" i="2"/>
  <c r="DF81" i="2"/>
  <c r="BJ152" i="2"/>
  <c r="BJ40" i="2"/>
  <c r="DO152" i="2"/>
  <c r="DO40" i="2"/>
  <c r="CC7" i="2"/>
  <c r="DB7" i="2" s="1"/>
  <c r="CC9" i="2"/>
  <c r="DB9" i="2" s="1"/>
  <c r="AW40" i="2"/>
  <c r="X105" i="2"/>
  <c r="CC128" i="2"/>
  <c r="DX152" i="2"/>
  <c r="DX40" i="2"/>
  <c r="DC13" i="2"/>
  <c r="AE15" i="2"/>
  <c r="BD15" i="2" s="1"/>
  <c r="BS150" i="2"/>
  <c r="DO150" i="2"/>
  <c r="BC152" i="2"/>
  <c r="BC40" i="2"/>
  <c r="CB5" i="2"/>
  <c r="BE5" i="2" s="1"/>
  <c r="DT9" i="2"/>
  <c r="BM152" i="2"/>
  <c r="BU152" i="2"/>
  <c r="CU152" i="2"/>
  <c r="CU40" i="2"/>
  <c r="BE7" i="2"/>
  <c r="AE10" i="2"/>
  <c r="BD10" i="2" s="1"/>
  <c r="DZ11" i="2"/>
  <c r="DC11" i="2" s="1"/>
  <c r="CB11" i="2"/>
  <c r="BE11" i="2" s="1"/>
  <c r="AH150" i="2"/>
  <c r="AH40" i="2"/>
  <c r="BG16" i="2"/>
  <c r="CD21" i="2"/>
  <c r="AF22" i="2"/>
  <c r="CD22" i="2"/>
  <c r="DE25" i="2"/>
  <c r="DC25" i="2" s="1"/>
  <c r="CD25" i="2"/>
  <c r="AE28" i="2"/>
  <c r="BD28" i="2" s="1"/>
  <c r="BG29" i="2"/>
  <c r="AD40" i="2"/>
  <c r="BC153" i="2"/>
  <c r="BC105" i="2"/>
  <c r="CC86" i="2"/>
  <c r="DO76" i="2"/>
  <c r="BQ76" i="2"/>
  <c r="AD153" i="2"/>
  <c r="AD105" i="2"/>
  <c r="G82" i="2"/>
  <c r="BK153" i="2"/>
  <c r="BK105" i="2"/>
  <c r="BS153" i="2"/>
  <c r="BS105" i="2"/>
  <c r="CB82" i="2"/>
  <c r="BE82" i="2" s="1"/>
  <c r="DI153" i="2"/>
  <c r="DI105" i="2"/>
  <c r="DQ153" i="2"/>
  <c r="DQ105" i="2"/>
  <c r="CU87" i="2"/>
  <c r="DV87" i="2"/>
  <c r="BW96" i="2"/>
  <c r="BW105" i="2" s="1"/>
  <c r="AX105" i="2"/>
  <c r="BN149" i="2"/>
  <c r="BN122" i="2"/>
  <c r="BO122" i="2"/>
  <c r="DM122" i="2"/>
  <c r="CC116" i="2"/>
  <c r="CC123" i="2"/>
  <c r="AQ147" i="2"/>
  <c r="AQ143" i="2"/>
  <c r="BP124" i="2"/>
  <c r="AW152" i="2"/>
  <c r="BK152" i="2"/>
  <c r="BS152" i="2"/>
  <c r="DM152" i="2"/>
  <c r="DM40" i="2"/>
  <c r="BQ150" i="2"/>
  <c r="BY150" i="2"/>
  <c r="DD150" i="2"/>
  <c r="DL150" i="2"/>
  <c r="DT150" i="2"/>
  <c r="CU150" i="2"/>
  <c r="P148" i="2"/>
  <c r="BN36" i="2"/>
  <c r="DL36" i="2"/>
  <c r="BY148" i="2"/>
  <c r="BW151" i="2"/>
  <c r="BW81" i="2"/>
  <c r="DD151" i="2"/>
  <c r="DU151" i="2"/>
  <c r="AU151" i="2"/>
  <c r="AU81" i="2"/>
  <c r="BT45" i="2"/>
  <c r="BT151" i="2" s="1"/>
  <c r="CS151" i="2"/>
  <c r="CS81" i="2"/>
  <c r="AW151" i="2"/>
  <c r="AW81" i="2"/>
  <c r="AF49" i="2"/>
  <c r="BV49" i="2"/>
  <c r="BV81" i="2" s="1"/>
  <c r="BE63" i="2"/>
  <c r="CD65" i="2"/>
  <c r="DK65" i="2"/>
  <c r="DC65" i="2" s="1"/>
  <c r="AP151" i="2"/>
  <c r="AP81" i="2"/>
  <c r="AF67" i="2"/>
  <c r="CC68" i="2"/>
  <c r="BX76" i="2"/>
  <c r="BX78" i="2"/>
  <c r="AF78" i="2"/>
  <c r="AF82" i="2"/>
  <c r="DJ153" i="2"/>
  <c r="DJ105" i="2"/>
  <c r="DT97" i="2"/>
  <c r="DC97" i="2" s="1"/>
  <c r="BV99" i="2"/>
  <c r="BE99" i="2" s="1"/>
  <c r="AF99" i="2"/>
  <c r="CC100" i="2"/>
  <c r="DA103" i="2"/>
  <c r="CD103" i="2" s="1"/>
  <c r="DE134" i="2"/>
  <c r="DC134" i="2" s="1"/>
  <c r="CD134" i="2"/>
  <c r="G80" i="2"/>
  <c r="DV80" i="2"/>
  <c r="BX80" i="2"/>
  <c r="BE80" i="2" s="1"/>
  <c r="AY153" i="2"/>
  <c r="BX84" i="2"/>
  <c r="BE92" i="2"/>
  <c r="DD143" i="2"/>
  <c r="BF152" i="2"/>
  <c r="BF40" i="2"/>
  <c r="BO152" i="2"/>
  <c r="BO40" i="2"/>
  <c r="DI152" i="2"/>
  <c r="BU150" i="2"/>
  <c r="DH150" i="2"/>
  <c r="DP150" i="2"/>
  <c r="DX150" i="2"/>
  <c r="DC32" i="2"/>
  <c r="AF35" i="2"/>
  <c r="CL148" i="2"/>
  <c r="CD36" i="2"/>
  <c r="BJ151" i="2"/>
  <c r="BJ81" i="2"/>
  <c r="AY151" i="2"/>
  <c r="BX42" i="2"/>
  <c r="AE47" i="2"/>
  <c r="BD47" i="2" s="1"/>
  <c r="AF54" i="2"/>
  <c r="BM54" i="2"/>
  <c r="BE54" i="2" s="1"/>
  <c r="DL67" i="2"/>
  <c r="P81" i="2"/>
  <c r="G67" i="2"/>
  <c r="BE69" i="2"/>
  <c r="AE70" i="2"/>
  <c r="BD70" i="2" s="1"/>
  <c r="DN153" i="2"/>
  <c r="DN105" i="2"/>
  <c r="DG105" i="2"/>
  <c r="DM105" i="2"/>
  <c r="I153" i="2"/>
  <c r="DE91" i="2"/>
  <c r="I105" i="2"/>
  <c r="BG91" i="2"/>
  <c r="DD105" i="2"/>
  <c r="CC106" i="2"/>
  <c r="DK149" i="2"/>
  <c r="DK122" i="2"/>
  <c r="DS149" i="2"/>
  <c r="DS122" i="2"/>
  <c r="DA149" i="2"/>
  <c r="DA122" i="2"/>
  <c r="AC148" i="2"/>
  <c r="DY126" i="2"/>
  <c r="DY148" i="2" s="1"/>
  <c r="CA126" i="2"/>
  <c r="AC143" i="2"/>
  <c r="AC145" i="2" s="1"/>
  <c r="V148" i="2"/>
  <c r="DR126" i="2"/>
  <c r="DQ152" i="2"/>
  <c r="DZ5" i="2"/>
  <c r="BM150" i="2"/>
  <c r="AD152" i="2"/>
  <c r="BP152" i="2"/>
  <c r="BP40" i="2"/>
  <c r="BX152" i="2"/>
  <c r="BX40" i="2"/>
  <c r="DJ152" i="2"/>
  <c r="DR152" i="2"/>
  <c r="AP152" i="2"/>
  <c r="AP40" i="2"/>
  <c r="BI152" i="2"/>
  <c r="BB152" i="2"/>
  <c r="BB40" i="2"/>
  <c r="CA12" i="2"/>
  <c r="BE12" i="2" s="1"/>
  <c r="BF150" i="2"/>
  <c r="BN150" i="2"/>
  <c r="DI150" i="2"/>
  <c r="DQ150" i="2"/>
  <c r="G18" i="2"/>
  <c r="CF18" i="2"/>
  <c r="CF150" i="2" s="1"/>
  <c r="AW150" i="2"/>
  <c r="DZ36" i="2"/>
  <c r="BK151" i="2"/>
  <c r="BK81" i="2"/>
  <c r="BM43" i="2"/>
  <c r="G43" i="2"/>
  <c r="S151" i="2"/>
  <c r="S154" i="2" s="1"/>
  <c r="DO49" i="2"/>
  <c r="DC54" i="2"/>
  <c r="CD62" i="2"/>
  <c r="AF63" i="2"/>
  <c r="BO67" i="2"/>
  <c r="BO81" i="2" s="1"/>
  <c r="DM67" i="2"/>
  <c r="DK72" i="2"/>
  <c r="BM72" i="2"/>
  <c r="BE72" i="2" s="1"/>
  <c r="S81" i="2"/>
  <c r="S145" i="2" s="1"/>
  <c r="CC90" i="2"/>
  <c r="CV153" i="2"/>
  <c r="DU93" i="2"/>
  <c r="DU105" i="2" s="1"/>
  <c r="CV105" i="2"/>
  <c r="G95" i="2"/>
  <c r="AE95" i="2" s="1"/>
  <c r="BD95" i="2" s="1"/>
  <c r="AF96" i="2"/>
  <c r="BL149" i="2"/>
  <c r="BL122" i="2"/>
  <c r="BT149" i="2"/>
  <c r="BT122" i="2"/>
  <c r="DW106" i="2"/>
  <c r="DC106" i="2" s="1"/>
  <c r="I149" i="2"/>
  <c r="BG110" i="2"/>
  <c r="BG122" i="2" s="1"/>
  <c r="I122" i="2"/>
  <c r="DD121" i="2"/>
  <c r="DC121" i="2" s="1"/>
  <c r="CD121" i="2"/>
  <c r="BX147" i="2"/>
  <c r="CS143" i="2"/>
  <c r="CS147" i="2"/>
  <c r="DR124" i="2"/>
  <c r="BQ152" i="2"/>
  <c r="BY152" i="2"/>
  <c r="DK152" i="2"/>
  <c r="DS152" i="2"/>
  <c r="BI150" i="2"/>
  <c r="BO150" i="2"/>
  <c r="BW150" i="2"/>
  <c r="DJ150" i="2"/>
  <c r="DR150" i="2"/>
  <c r="DZ18" i="2"/>
  <c r="CF152" i="2"/>
  <c r="AX152" i="2"/>
  <c r="AX40" i="2"/>
  <c r="AN148" i="2"/>
  <c r="BM36" i="2"/>
  <c r="BW148" i="2"/>
  <c r="DI148" i="2"/>
  <c r="DC37" i="2"/>
  <c r="DC39" i="2"/>
  <c r="P40" i="2"/>
  <c r="DR40" i="2"/>
  <c r="DJ151" i="2"/>
  <c r="DJ81" i="2"/>
  <c r="BM42" i="2"/>
  <c r="AD151" i="2"/>
  <c r="AD81" i="2"/>
  <c r="CB43" i="2"/>
  <c r="CQ81" i="2"/>
  <c r="CQ145" i="2" s="1"/>
  <c r="CD45" i="2"/>
  <c r="BE48" i="2"/>
  <c r="AB151" i="2"/>
  <c r="AB154" i="2" s="1"/>
  <c r="DX49" i="2"/>
  <c r="DX81" i="2" s="1"/>
  <c r="AB81" i="2"/>
  <c r="AB145" i="2" s="1"/>
  <c r="BZ49" i="2"/>
  <c r="BZ81" i="2" s="1"/>
  <c r="CY151" i="2"/>
  <c r="CY154" i="2" s="1"/>
  <c r="CY81" i="2"/>
  <c r="CY145" i="2" s="1"/>
  <c r="BM51" i="2"/>
  <c r="BE59" i="2"/>
  <c r="DC59" i="2"/>
  <c r="DZ61" i="2"/>
  <c r="DC74" i="2"/>
  <c r="DK76" i="2"/>
  <c r="G76" i="2"/>
  <c r="AY81" i="2"/>
  <c r="BJ105" i="2"/>
  <c r="DH153" i="2"/>
  <c r="DH105" i="2"/>
  <c r="DP153" i="2"/>
  <c r="DP105" i="2"/>
  <c r="DX153" i="2"/>
  <c r="DX105" i="2"/>
  <c r="BI105" i="2"/>
  <c r="BY105" i="2"/>
  <c r="DT95" i="2"/>
  <c r="DC95" i="2" s="1"/>
  <c r="BV95" i="2"/>
  <c r="BE95" i="2" s="1"/>
  <c r="AF104" i="2"/>
  <c r="BM149" i="2"/>
  <c r="BM122" i="2"/>
  <c r="BU149" i="2"/>
  <c r="BU122" i="2"/>
  <c r="DD117" i="2"/>
  <c r="DC117" i="2" s="1"/>
  <c r="CD117" i="2"/>
  <c r="AJ149" i="2"/>
  <c r="BI118" i="2"/>
  <c r="BE118" i="2" s="1"/>
  <c r="AF118" i="2"/>
  <c r="BK143" i="2"/>
  <c r="AE132" i="2"/>
  <c r="BD132" i="2" s="1"/>
  <c r="BH148" i="2"/>
  <c r="DH148" i="2"/>
  <c r="DP148" i="2"/>
  <c r="U40" i="2"/>
  <c r="CI145" i="2"/>
  <c r="O151" i="2"/>
  <c r="O81" i="2"/>
  <c r="BH151" i="2"/>
  <c r="DK41" i="2"/>
  <c r="AR151" i="2"/>
  <c r="AR154" i="2" s="1"/>
  <c r="CR151" i="2"/>
  <c r="CR81" i="2"/>
  <c r="CR145" i="2" s="1"/>
  <c r="DK56" i="2"/>
  <c r="Q151" i="2"/>
  <c r="Q81" i="2"/>
  <c r="DM64" i="2"/>
  <c r="DC66" i="2"/>
  <c r="CC69" i="2"/>
  <c r="BX70" i="2"/>
  <c r="BE70" i="2" s="1"/>
  <c r="DV70" i="2"/>
  <c r="DC70" i="2" s="1"/>
  <c r="CC71" i="2"/>
  <c r="DV73" i="2"/>
  <c r="CT73" i="2"/>
  <c r="DK80" i="2"/>
  <c r="CD80" i="2"/>
  <c r="BQ153" i="2"/>
  <c r="BE86" i="2"/>
  <c r="DA93" i="2"/>
  <c r="DZ93" i="2" s="1"/>
  <c r="G104" i="2"/>
  <c r="DZ104" i="2"/>
  <c r="DC104" i="2" s="1"/>
  <c r="DJ149" i="2"/>
  <c r="DJ122" i="2"/>
  <c r="DR149" i="2"/>
  <c r="DR122" i="2"/>
  <c r="H149" i="2"/>
  <c r="H154" i="2" s="1"/>
  <c r="DD110" i="2"/>
  <c r="H122" i="2"/>
  <c r="H145" i="2" s="1"/>
  <c r="BF110" i="2"/>
  <c r="BC149" i="2"/>
  <c r="BC122" i="2"/>
  <c r="DZ111" i="2"/>
  <c r="CB111" i="2"/>
  <c r="G111" i="2"/>
  <c r="AF117" i="2"/>
  <c r="BQ143" i="2"/>
  <c r="BY143" i="2"/>
  <c r="G125" i="2"/>
  <c r="DC135" i="2"/>
  <c r="BL36" i="2"/>
  <c r="BL148" i="2" s="1"/>
  <c r="DD148" i="2"/>
  <c r="BL151" i="2"/>
  <c r="BL81" i="2"/>
  <c r="DG151" i="2"/>
  <c r="DW151" i="2"/>
  <c r="Z151" i="2"/>
  <c r="DR45" i="2"/>
  <c r="DR81" i="2" s="1"/>
  <c r="U151" i="2"/>
  <c r="U81" i="2"/>
  <c r="CD63" i="2"/>
  <c r="CC70" i="2"/>
  <c r="BE75" i="2"/>
  <c r="BE77" i="2"/>
  <c r="DC77" i="2"/>
  <c r="G78" i="2"/>
  <c r="AS81" i="2"/>
  <c r="AS145" i="2" s="1"/>
  <c r="DW81" i="2"/>
  <c r="BM153" i="2"/>
  <c r="BM105" i="2"/>
  <c r="CF153" i="2"/>
  <c r="AF90" i="2"/>
  <c r="CB91" i="2"/>
  <c r="DZ91" i="2"/>
  <c r="CC91" i="2"/>
  <c r="DT102" i="2"/>
  <c r="DC102" i="2" s="1"/>
  <c r="BV102" i="2"/>
  <c r="BE102" i="2" s="1"/>
  <c r="AF113" i="2"/>
  <c r="BY113" i="2"/>
  <c r="BE113" i="2" s="1"/>
  <c r="AF120" i="2"/>
  <c r="CD120" i="2"/>
  <c r="DD120" i="2"/>
  <c r="DC120" i="2" s="1"/>
  <c r="AG122" i="2"/>
  <c r="AG145" i="2" s="1"/>
  <c r="Q147" i="2"/>
  <c r="Q143" i="2"/>
  <c r="BO124" i="2"/>
  <c r="DM124" i="2"/>
  <c r="AU147" i="2"/>
  <c r="AU143" i="2"/>
  <c r="BT124" i="2"/>
  <c r="CD125" i="2"/>
  <c r="DY147" i="2"/>
  <c r="AF127" i="2"/>
  <c r="AD148" i="2"/>
  <c r="DE148" i="2"/>
  <c r="J145" i="2"/>
  <c r="CV40" i="2"/>
  <c r="DH151" i="2"/>
  <c r="DH81" i="2"/>
  <c r="CU151" i="2"/>
  <c r="CU81" i="2"/>
  <c r="CC58" i="2"/>
  <c r="AE72" i="2"/>
  <c r="BD72" i="2" s="1"/>
  <c r="AF76" i="2"/>
  <c r="BH81" i="2"/>
  <c r="BF153" i="2"/>
  <c r="BF105" i="2"/>
  <c r="BN153" i="2"/>
  <c r="BE85" i="2"/>
  <c r="DC85" i="2"/>
  <c r="AW153" i="2"/>
  <c r="AE91" i="2"/>
  <c r="BD91" i="2" s="1"/>
  <c r="BV97" i="2"/>
  <c r="BE97" i="2" s="1"/>
  <c r="G97" i="2"/>
  <c r="AF98" i="2"/>
  <c r="BG98" i="2"/>
  <c r="BE98" i="2" s="1"/>
  <c r="DG122" i="2"/>
  <c r="DO149" i="2"/>
  <c r="DO122" i="2"/>
  <c r="CD110" i="2"/>
  <c r="CJ149" i="2"/>
  <c r="CJ154" i="2" s="1"/>
  <c r="CJ122" i="2"/>
  <c r="CJ145" i="2" s="1"/>
  <c r="DI111" i="2"/>
  <c r="DI149" i="2" s="1"/>
  <c r="CC118" i="2"/>
  <c r="AE123" i="2"/>
  <c r="BD123" i="2" s="1"/>
  <c r="DR125" i="2"/>
  <c r="BT125" i="2"/>
  <c r="DS127" i="2"/>
  <c r="CD127" i="2"/>
  <c r="V143" i="2"/>
  <c r="V145" i="2" s="1"/>
  <c r="V151" i="2"/>
  <c r="DF148" i="2"/>
  <c r="BF151" i="2"/>
  <c r="BF81" i="2"/>
  <c r="BN151" i="2"/>
  <c r="BN81" i="2"/>
  <c r="DI151" i="2"/>
  <c r="DI81" i="2"/>
  <c r="BC151" i="2"/>
  <c r="BC81" i="2"/>
  <c r="BE68" i="2"/>
  <c r="Z81" i="2"/>
  <c r="BO153" i="2"/>
  <c r="BO105" i="2"/>
  <c r="BG83" i="2"/>
  <c r="BE83" i="2" s="1"/>
  <c r="AF83" i="2"/>
  <c r="DC86" i="2"/>
  <c r="BE90" i="2"/>
  <c r="CC99" i="2"/>
  <c r="BZ149" i="2"/>
  <c r="DD108" i="2"/>
  <c r="CE122" i="2"/>
  <c r="CE145" i="2" s="1"/>
  <c r="CD108" i="2"/>
  <c r="G109" i="2"/>
  <c r="DW109" i="2"/>
  <c r="DC109" i="2" s="1"/>
  <c r="BY109" i="2"/>
  <c r="BE109" i="2" s="1"/>
  <c r="AY149" i="2"/>
  <c r="BX110" i="2"/>
  <c r="CU149" i="2"/>
  <c r="DT111" i="2"/>
  <c r="DT149" i="2" s="1"/>
  <c r="AF115" i="2"/>
  <c r="BY115" i="2"/>
  <c r="BE115" i="2" s="1"/>
  <c r="BE121" i="2"/>
  <c r="DM127" i="2"/>
  <c r="DM148" i="2" s="1"/>
  <c r="BO127" i="2"/>
  <c r="BO148" i="2" s="1"/>
  <c r="BE137" i="2"/>
  <c r="V147" i="2"/>
  <c r="P151" i="2"/>
  <c r="BL153" i="2"/>
  <c r="BT153" i="2"/>
  <c r="DG153" i="2"/>
  <c r="DO153" i="2"/>
  <c r="DW153" i="2"/>
  <c r="DT90" i="2"/>
  <c r="DC90" i="2" s="1"/>
  <c r="W105" i="2"/>
  <c r="DW105" i="2"/>
  <c r="AZ149" i="2"/>
  <c r="AZ154" i="2" s="1"/>
  <c r="AZ122" i="2"/>
  <c r="AZ145" i="2" s="1"/>
  <c r="AF106" i="2"/>
  <c r="BS149" i="2"/>
  <c r="BS122" i="2"/>
  <c r="DH149" i="2"/>
  <c r="DP149" i="2"/>
  <c r="DX149" i="2"/>
  <c r="AH149" i="2"/>
  <c r="AH122" i="2"/>
  <c r="AW122" i="2"/>
  <c r="DH122" i="2"/>
  <c r="DJ143" i="2"/>
  <c r="Y147" i="2"/>
  <c r="Y143" i="2"/>
  <c r="DU125" i="2"/>
  <c r="DU147" i="2" s="1"/>
  <c r="BN127" i="2"/>
  <c r="DC136" i="2"/>
  <c r="AM154" i="2"/>
  <c r="BH153" i="2"/>
  <c r="BP153" i="2"/>
  <c r="DK153" i="2"/>
  <c r="AX153" i="2"/>
  <c r="BT105" i="2"/>
  <c r="BO149" i="2"/>
  <c r="DW108" i="2"/>
  <c r="Z149" i="2"/>
  <c r="DV110" i="2"/>
  <c r="DV122" i="2" s="1"/>
  <c r="AF111" i="2"/>
  <c r="DC119" i="2"/>
  <c r="R143" i="2"/>
  <c r="R147" i="2"/>
  <c r="DN124" i="2"/>
  <c r="AF125" i="2"/>
  <c r="DZ126" i="2"/>
  <c r="AD143" i="2"/>
  <c r="BE134" i="2"/>
  <c r="CK154" i="2"/>
  <c r="G74" i="2"/>
  <c r="BI153" i="2"/>
  <c r="BY153" i="2"/>
  <c r="DL153" i="2"/>
  <c r="X153" i="2"/>
  <c r="BL105" i="2"/>
  <c r="CT105" i="2"/>
  <c r="DK105" i="2"/>
  <c r="BH122" i="2"/>
  <c r="BP149" i="2"/>
  <c r="DM149" i="2"/>
  <c r="BY108" i="2"/>
  <c r="BE108" i="2" s="1"/>
  <c r="AD149" i="2"/>
  <c r="AD122" i="2"/>
  <c r="DZ110" i="2"/>
  <c r="AL149" i="2"/>
  <c r="AL154" i="2" s="1"/>
  <c r="AL122" i="2"/>
  <c r="AL145" i="2" s="1"/>
  <c r="BK111" i="2"/>
  <c r="BK149" i="2" s="1"/>
  <c r="BE123" i="2"/>
  <c r="DW143" i="2"/>
  <c r="T147" i="2"/>
  <c r="T154" i="2" s="1"/>
  <c r="T143" i="2"/>
  <c r="T145" i="2" s="1"/>
  <c r="BG147" i="2"/>
  <c r="BR124" i="2"/>
  <c r="BR147" i="2" s="1"/>
  <c r="DP124" i="2"/>
  <c r="DP147" i="2" s="1"/>
  <c r="DX147" i="2"/>
  <c r="BN125" i="2"/>
  <c r="DN127" i="2"/>
  <c r="AF135" i="2"/>
  <c r="BW135" i="2"/>
  <c r="CN143" i="2"/>
  <c r="AV81" i="2"/>
  <c r="AH153" i="2"/>
  <c r="BJ153" i="2"/>
  <c r="BR153" i="2"/>
  <c r="BZ153" i="2"/>
  <c r="DD153" i="2"/>
  <c r="DM153" i="2"/>
  <c r="DS89" i="2"/>
  <c r="DL105" i="2"/>
  <c r="BQ149" i="2"/>
  <c r="BY106" i="2"/>
  <c r="AG149" i="2"/>
  <c r="AG154" i="2" s="1"/>
  <c r="BF107" i="2"/>
  <c r="BE107" i="2" s="1"/>
  <c r="AF110" i="2"/>
  <c r="BE114" i="2"/>
  <c r="DX122" i="2"/>
  <c r="DH143" i="2"/>
  <c r="DX143" i="2"/>
  <c r="CD124" i="2"/>
  <c r="CT143" i="2"/>
  <c r="CT147" i="2"/>
  <c r="DS125" i="2"/>
  <c r="DS147" i="2" s="1"/>
  <c r="AE136" i="2"/>
  <c r="BD136" i="2" s="1"/>
  <c r="AA149" i="2"/>
  <c r="AA154" i="2" s="1"/>
  <c r="BH149" i="2"/>
  <c r="BJ149" i="2"/>
  <c r="BJ122" i="2"/>
  <c r="BR149" i="2"/>
  <c r="DN149" i="2"/>
  <c r="DF149" i="2"/>
  <c r="BZ122" i="2"/>
  <c r="BL143" i="2"/>
  <c r="G124" i="2"/>
  <c r="O147" i="2"/>
  <c r="BM124" i="2"/>
  <c r="AP143" i="2"/>
  <c r="AP147" i="2"/>
  <c r="DG143" i="2"/>
  <c r="DN125" i="2"/>
  <c r="BP125" i="2"/>
  <c r="Q148" i="2"/>
  <c r="DK127" i="2"/>
  <c r="G127" i="2"/>
  <c r="CV148" i="2"/>
  <c r="DU127" i="2"/>
  <c r="DU148" i="2" s="1"/>
  <c r="CW148" i="2"/>
  <c r="CW143" i="2"/>
  <c r="CC131" i="2"/>
  <c r="BE142" i="2"/>
  <c r="AX143" i="2"/>
  <c r="AX147" i="2"/>
  <c r="DA143" i="2"/>
  <c r="DA147" i="2"/>
  <c r="AF126" i="2"/>
  <c r="DO143" i="2"/>
  <c r="K154" i="2"/>
  <c r="DL149" i="2"/>
  <c r="CE149" i="2"/>
  <c r="AF121" i="2"/>
  <c r="DN122" i="2"/>
  <c r="BZ143" i="2"/>
  <c r="DI143" i="2"/>
  <c r="AF124" i="2"/>
  <c r="DL125" i="2"/>
  <c r="P143" i="2"/>
  <c r="BB143" i="2"/>
  <c r="DR127" i="2"/>
  <c r="CF148" i="2"/>
  <c r="CD130" i="2"/>
  <c r="CC132" i="2"/>
  <c r="CI154" i="2"/>
  <c r="AF130" i="2"/>
  <c r="AJ143" i="2"/>
  <c r="AJ145" i="2" s="1"/>
  <c r="BW136" i="2"/>
  <c r="BE136" i="2" s="1"/>
  <c r="CC138" i="2"/>
  <c r="N154" i="2"/>
  <c r="AS154" i="2"/>
  <c r="BF143" i="2"/>
  <c r="BV147" i="2"/>
  <c r="CL143" i="2"/>
  <c r="L147" i="2"/>
  <c r="L154" i="2" s="1"/>
  <c r="L143" i="2"/>
  <c r="L145" i="2" s="1"/>
  <c r="G126" i="2"/>
  <c r="BH143" i="2"/>
  <c r="AT143" i="2"/>
  <c r="AT145" i="2" s="1"/>
  <c r="AT147" i="2"/>
  <c r="CM147" i="2"/>
  <c r="CM143" i="2"/>
  <c r="CM145" i="2" s="1"/>
  <c r="DG147" i="2"/>
  <c r="AO148" i="2"/>
  <c r="DK126" i="2"/>
  <c r="G129" i="2"/>
  <c r="DQ129" i="2"/>
  <c r="AF141" i="2"/>
  <c r="CC142" i="2"/>
  <c r="AH148" i="2"/>
  <c r="AX148" i="2"/>
  <c r="J154" i="2"/>
  <c r="I150" i="2"/>
  <c r="I143" i="2"/>
  <c r="AO143" i="2"/>
  <c r="AO145" i="2" s="1"/>
  <c r="AY143" i="2"/>
  <c r="BG141" i="2"/>
  <c r="BE141" i="2" s="1"/>
  <c r="G4" i="1"/>
  <c r="EB4" i="1" s="1"/>
  <c r="AD4" i="1"/>
  <c r="AW4" i="1"/>
  <c r="BV4" i="1" s="1"/>
  <c r="BC4" i="1"/>
  <c r="BF4" i="1"/>
  <c r="BG4" i="1"/>
  <c r="BH4" i="1"/>
  <c r="BJ4" i="1"/>
  <c r="BK4" i="1"/>
  <c r="BL4" i="1"/>
  <c r="BM4" i="1"/>
  <c r="BN4" i="1"/>
  <c r="BO4" i="1"/>
  <c r="BP4" i="1"/>
  <c r="BQ4" i="1"/>
  <c r="BR4" i="1"/>
  <c r="BS4" i="1"/>
  <c r="BT4" i="1"/>
  <c r="BU4" i="1"/>
  <c r="BW4" i="1"/>
  <c r="BX4" i="1"/>
  <c r="BY4" i="1"/>
  <c r="BZ4" i="1"/>
  <c r="CU4" i="1"/>
  <c r="DA4" i="1"/>
  <c r="DZ4" i="1" s="1"/>
  <c r="DD4" i="1"/>
  <c r="DE4" i="1"/>
  <c r="DF4" i="1"/>
  <c r="DG4" i="1"/>
  <c r="DH4" i="1"/>
  <c r="DI4" i="1"/>
  <c r="DJ4" i="1"/>
  <c r="DK4" i="1"/>
  <c r="DL4" i="1"/>
  <c r="DM4" i="1"/>
  <c r="DN4" i="1"/>
  <c r="DO4" i="1"/>
  <c r="DP4" i="1"/>
  <c r="DQ4" i="1"/>
  <c r="DR4" i="1"/>
  <c r="DS4" i="1"/>
  <c r="DU4" i="1"/>
  <c r="DV4" i="1"/>
  <c r="DW4" i="1"/>
  <c r="DX4" i="1"/>
  <c r="G5" i="1"/>
  <c r="AW5" i="1"/>
  <c r="BF5" i="1"/>
  <c r="BG5" i="1"/>
  <c r="BH5" i="1"/>
  <c r="BJ5" i="1"/>
  <c r="BJ151" i="1" s="1"/>
  <c r="BK5" i="1"/>
  <c r="BL5" i="1"/>
  <c r="BM5" i="1"/>
  <c r="BN5" i="1"/>
  <c r="BO5" i="1"/>
  <c r="BP5" i="1"/>
  <c r="BQ5" i="1"/>
  <c r="BR5" i="1"/>
  <c r="BR151" i="1" s="1"/>
  <c r="BS5" i="1"/>
  <c r="BT5" i="1"/>
  <c r="BU5" i="1"/>
  <c r="BW5" i="1"/>
  <c r="BX5" i="1"/>
  <c r="BY5" i="1"/>
  <c r="BZ5" i="1"/>
  <c r="CB5" i="1"/>
  <c r="CD5" i="1"/>
  <c r="CU5" i="1"/>
  <c r="DD5" i="1"/>
  <c r="DE5" i="1"/>
  <c r="DF5" i="1"/>
  <c r="DG5" i="1"/>
  <c r="DH5" i="1"/>
  <c r="DI5" i="1"/>
  <c r="DJ5" i="1"/>
  <c r="DK5" i="1"/>
  <c r="DL5" i="1"/>
  <c r="DM5" i="1"/>
  <c r="DN5" i="1"/>
  <c r="DO5" i="1"/>
  <c r="DP5" i="1"/>
  <c r="DQ5" i="1"/>
  <c r="DR5" i="1"/>
  <c r="DS5" i="1"/>
  <c r="DT5" i="1"/>
  <c r="DU5" i="1"/>
  <c r="DV5" i="1"/>
  <c r="DW5" i="1"/>
  <c r="DX5" i="1"/>
  <c r="DZ5" i="1"/>
  <c r="G6" i="1"/>
  <c r="EB6" i="1" s="1"/>
  <c r="AW6" i="1"/>
  <c r="AF6" i="1" s="1"/>
  <c r="BF6" i="1"/>
  <c r="BG6" i="1"/>
  <c r="BH6" i="1"/>
  <c r="BJ6" i="1"/>
  <c r="BK6" i="1"/>
  <c r="BL6" i="1"/>
  <c r="BM6" i="1"/>
  <c r="BN6" i="1"/>
  <c r="BO6" i="1"/>
  <c r="BP6" i="1"/>
  <c r="BQ6" i="1"/>
  <c r="BQ39" i="1" s="1"/>
  <c r="BR6" i="1"/>
  <c r="BS6" i="1"/>
  <c r="BT6" i="1"/>
  <c r="BU6" i="1"/>
  <c r="BV6" i="1"/>
  <c r="BW6" i="1"/>
  <c r="BX6" i="1"/>
  <c r="BY6" i="1"/>
  <c r="BZ6" i="1"/>
  <c r="CB6" i="1"/>
  <c r="CU6" i="1"/>
  <c r="DD6" i="1"/>
  <c r="DE6" i="1"/>
  <c r="DF6" i="1"/>
  <c r="DG6" i="1"/>
  <c r="DH6" i="1"/>
  <c r="DI6" i="1"/>
  <c r="DJ6" i="1"/>
  <c r="DK6" i="1"/>
  <c r="DL6" i="1"/>
  <c r="DM6" i="1"/>
  <c r="DN6" i="1"/>
  <c r="DO6" i="1"/>
  <c r="DP6" i="1"/>
  <c r="DQ6" i="1"/>
  <c r="DR6" i="1"/>
  <c r="DS6" i="1"/>
  <c r="DU6" i="1"/>
  <c r="DV6" i="1"/>
  <c r="DW6" i="1"/>
  <c r="DX6" i="1"/>
  <c r="DZ6" i="1"/>
  <c r="G7" i="1"/>
  <c r="AW7" i="1"/>
  <c r="AF7" i="1" s="1"/>
  <c r="AE7" i="1" s="1"/>
  <c r="BD7" i="1" s="1"/>
  <c r="BF7" i="1"/>
  <c r="BG7" i="1"/>
  <c r="BH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B7" i="1"/>
  <c r="CD7" i="1"/>
  <c r="CC7" i="1" s="1"/>
  <c r="DB7" i="1"/>
  <c r="DD7" i="1"/>
  <c r="DE7" i="1"/>
  <c r="DF7" i="1"/>
  <c r="DG7" i="1"/>
  <c r="DH7" i="1"/>
  <c r="DI7" i="1"/>
  <c r="DJ7" i="1"/>
  <c r="DK7" i="1"/>
  <c r="DL7" i="1"/>
  <c r="DM7" i="1"/>
  <c r="DN7" i="1"/>
  <c r="DO7" i="1"/>
  <c r="DP7" i="1"/>
  <c r="DQ7" i="1"/>
  <c r="DR7" i="1"/>
  <c r="DS7" i="1"/>
  <c r="DT7" i="1"/>
  <c r="DU7" i="1"/>
  <c r="DV7" i="1"/>
  <c r="DW7" i="1"/>
  <c r="DX7" i="1"/>
  <c r="DZ7" i="1"/>
  <c r="EB7" i="1"/>
  <c r="G8" i="1"/>
  <c r="AW8" i="1"/>
  <c r="AF8" i="1" s="1"/>
  <c r="AE8" i="1" s="1"/>
  <c r="BD8" i="1" s="1"/>
  <c r="BF8" i="1"/>
  <c r="BG8" i="1"/>
  <c r="BH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B8" i="1"/>
  <c r="CU8" i="1"/>
  <c r="DD8" i="1"/>
  <c r="DE8" i="1"/>
  <c r="DF8" i="1"/>
  <c r="DG8" i="1"/>
  <c r="DH8" i="1"/>
  <c r="DI8" i="1"/>
  <c r="DJ8" i="1"/>
  <c r="DK8" i="1"/>
  <c r="DL8" i="1"/>
  <c r="DM8" i="1"/>
  <c r="DN8" i="1"/>
  <c r="DO8" i="1"/>
  <c r="DP8" i="1"/>
  <c r="DQ8" i="1"/>
  <c r="DR8" i="1"/>
  <c r="DS8" i="1"/>
  <c r="DU8" i="1"/>
  <c r="DV8" i="1"/>
  <c r="DW8" i="1"/>
  <c r="DX8" i="1"/>
  <c r="DZ8" i="1"/>
  <c r="EB8" i="1"/>
  <c r="G9" i="1"/>
  <c r="EB9" i="1" s="1"/>
  <c r="AW9" i="1"/>
  <c r="AF9" i="1" s="1"/>
  <c r="AE9" i="1" s="1"/>
  <c r="BD9" i="1" s="1"/>
  <c r="BW9" i="1"/>
  <c r="CU9" i="1"/>
  <c r="CD9" i="1" s="1"/>
  <c r="CC9" i="1" s="1"/>
  <c r="DB9" i="1" s="1"/>
  <c r="DD9" i="1"/>
  <c r="DE9" i="1"/>
  <c r="DF9" i="1"/>
  <c r="DG9" i="1"/>
  <c r="DH9" i="1"/>
  <c r="DI9" i="1"/>
  <c r="DJ9" i="1"/>
  <c r="DK9" i="1"/>
  <c r="DL9" i="1"/>
  <c r="DL151" i="1" s="1"/>
  <c r="DM9" i="1"/>
  <c r="DN9" i="1"/>
  <c r="DO9" i="1"/>
  <c r="DP9" i="1"/>
  <c r="DQ9" i="1"/>
  <c r="DR9" i="1"/>
  <c r="DS9" i="1"/>
  <c r="DU9" i="1"/>
  <c r="DV9" i="1"/>
  <c r="DW9" i="1"/>
  <c r="DX9" i="1"/>
  <c r="DZ9" i="1"/>
  <c r="G10" i="1"/>
  <c r="AD10" i="1"/>
  <c r="AP10" i="1"/>
  <c r="AW10" i="1"/>
  <c r="BV10" i="1" s="1"/>
  <c r="BC10" i="1"/>
  <c r="BF10" i="1"/>
  <c r="BG10" i="1"/>
  <c r="BH10" i="1"/>
  <c r="BI10" i="1"/>
  <c r="BJ10" i="1"/>
  <c r="BK10" i="1"/>
  <c r="BL10" i="1"/>
  <c r="BM10" i="1"/>
  <c r="BN10" i="1"/>
  <c r="BP10" i="1"/>
  <c r="BQ10" i="1"/>
  <c r="BR10" i="1"/>
  <c r="BS10" i="1"/>
  <c r="BT10" i="1"/>
  <c r="BU10" i="1"/>
  <c r="BW10" i="1"/>
  <c r="BX10" i="1"/>
  <c r="BY10" i="1"/>
  <c r="BZ10" i="1"/>
  <c r="CA10" i="1"/>
  <c r="CB10" i="1"/>
  <c r="CN10" i="1"/>
  <c r="CU10" i="1"/>
  <c r="DT10" i="1" s="1"/>
  <c r="DA10" i="1"/>
  <c r="DD10" i="1"/>
  <c r="DE10" i="1"/>
  <c r="DF10" i="1"/>
  <c r="DG10" i="1"/>
  <c r="DH10" i="1"/>
  <c r="DI10" i="1"/>
  <c r="DJ10" i="1"/>
  <c r="DK10" i="1"/>
  <c r="DL10" i="1"/>
  <c r="DM10" i="1"/>
  <c r="DN10" i="1"/>
  <c r="DO10" i="1"/>
  <c r="DO151" i="1" s="1"/>
  <c r="DP10" i="1"/>
  <c r="DQ10" i="1"/>
  <c r="DR10" i="1"/>
  <c r="DS10" i="1"/>
  <c r="DU10" i="1"/>
  <c r="DV10" i="1"/>
  <c r="DW10" i="1"/>
  <c r="DW151" i="1" s="1"/>
  <c r="DX10" i="1"/>
  <c r="DY10" i="1"/>
  <c r="DZ10" i="1"/>
  <c r="G11" i="1"/>
  <c r="BB11" i="1"/>
  <c r="AF11" i="1" s="1"/>
  <c r="AE11" i="1" s="1"/>
  <c r="BD11" i="1" s="1"/>
  <c r="BF11" i="1"/>
  <c r="BG11" i="1"/>
  <c r="BH11" i="1"/>
  <c r="BI11" i="1"/>
  <c r="BI39" i="1" s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B11" i="1"/>
  <c r="CZ11" i="1"/>
  <c r="DD11" i="1"/>
  <c r="DE11" i="1"/>
  <c r="DF11" i="1"/>
  <c r="DG11" i="1"/>
  <c r="DH11" i="1"/>
  <c r="DI11" i="1"/>
  <c r="DJ11" i="1"/>
  <c r="DK11" i="1"/>
  <c r="DL11" i="1"/>
  <c r="DM11" i="1"/>
  <c r="DN11" i="1"/>
  <c r="DO11" i="1"/>
  <c r="DP11" i="1"/>
  <c r="DQ11" i="1"/>
  <c r="DR11" i="1"/>
  <c r="DS11" i="1"/>
  <c r="DT11" i="1"/>
  <c r="DU11" i="1"/>
  <c r="DV11" i="1"/>
  <c r="DW11" i="1"/>
  <c r="DX11" i="1"/>
  <c r="DZ11" i="1"/>
  <c r="EB11" i="1"/>
  <c r="G12" i="1"/>
  <c r="EB12" i="1" s="1"/>
  <c r="AW12" i="1"/>
  <c r="BV12" i="1" s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W12" i="1"/>
  <c r="BX12" i="1"/>
  <c r="BY12" i="1"/>
  <c r="BZ12" i="1"/>
  <c r="CB12" i="1"/>
  <c r="CU12" i="1"/>
  <c r="CD12" i="1" s="1"/>
  <c r="CC12" i="1" s="1"/>
  <c r="DB12" i="1" s="1"/>
  <c r="DD12" i="1"/>
  <c r="DE12" i="1"/>
  <c r="DF12" i="1"/>
  <c r="DG12" i="1"/>
  <c r="DH12" i="1"/>
  <c r="DI12" i="1"/>
  <c r="DJ12" i="1"/>
  <c r="DK12" i="1"/>
  <c r="DL12" i="1"/>
  <c r="DM12" i="1"/>
  <c r="DN12" i="1"/>
  <c r="DO12" i="1"/>
  <c r="DP12" i="1"/>
  <c r="DQ12" i="1"/>
  <c r="DR12" i="1"/>
  <c r="DS12" i="1"/>
  <c r="DU12" i="1"/>
  <c r="DV12" i="1"/>
  <c r="DW12" i="1"/>
  <c r="DX12" i="1"/>
  <c r="DZ12" i="1"/>
  <c r="X13" i="1"/>
  <c r="AF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W13" i="1"/>
  <c r="BX13" i="1"/>
  <c r="BY13" i="1"/>
  <c r="BZ13" i="1"/>
  <c r="CB13" i="1"/>
  <c r="CD13" i="1"/>
  <c r="DD13" i="1"/>
  <c r="DE13" i="1"/>
  <c r="DF13" i="1"/>
  <c r="DG13" i="1"/>
  <c r="DH13" i="1"/>
  <c r="DI13" i="1"/>
  <c r="DJ13" i="1"/>
  <c r="DK13" i="1"/>
  <c r="DL13" i="1"/>
  <c r="DM13" i="1"/>
  <c r="DN13" i="1"/>
  <c r="DO13" i="1"/>
  <c r="DP13" i="1"/>
  <c r="DQ13" i="1"/>
  <c r="DR13" i="1"/>
  <c r="DS13" i="1"/>
  <c r="DU13" i="1"/>
  <c r="DV13" i="1"/>
  <c r="DW13" i="1"/>
  <c r="DX13" i="1"/>
  <c r="DZ13" i="1"/>
  <c r="G14" i="1"/>
  <c r="EB14" i="1" s="1"/>
  <c r="AF14" i="1"/>
  <c r="BI14" i="1"/>
  <c r="BE14" i="1" s="1"/>
  <c r="CC14" i="1"/>
  <c r="DB14" i="1" s="1"/>
  <c r="CD14" i="1"/>
  <c r="ED14" i="1" s="1"/>
  <c r="DG14" i="1"/>
  <c r="DC14" i="1" s="1"/>
  <c r="G15" i="1"/>
  <c r="AH15" i="1"/>
  <c r="AF15" i="1" s="1"/>
  <c r="BF15" i="1"/>
  <c r="BH15" i="1"/>
  <c r="BI15" i="1"/>
  <c r="BJ15" i="1"/>
  <c r="BK15" i="1"/>
  <c r="BL15" i="1"/>
  <c r="BM15" i="1"/>
  <c r="BN15" i="1"/>
  <c r="BO15" i="1"/>
  <c r="BP15" i="1"/>
  <c r="BQ15" i="1"/>
  <c r="BR15" i="1"/>
  <c r="BS15" i="1"/>
  <c r="BT15" i="1"/>
  <c r="BU15" i="1"/>
  <c r="BV15" i="1"/>
  <c r="BW15" i="1"/>
  <c r="BX15" i="1"/>
  <c r="BY15" i="1"/>
  <c r="BZ15" i="1"/>
  <c r="CB15" i="1"/>
  <c r="CF15" i="1"/>
  <c r="CD15" i="1" s="1"/>
  <c r="DD15" i="1"/>
  <c r="DF15" i="1"/>
  <c r="DG15" i="1"/>
  <c r="DH15" i="1"/>
  <c r="DI15" i="1"/>
  <c r="DJ15" i="1"/>
  <c r="DK15" i="1"/>
  <c r="DL15" i="1"/>
  <c r="DM15" i="1"/>
  <c r="DN15" i="1"/>
  <c r="DO15" i="1"/>
  <c r="DP15" i="1"/>
  <c r="DQ15" i="1"/>
  <c r="DR15" i="1"/>
  <c r="DS15" i="1"/>
  <c r="DT15" i="1"/>
  <c r="DU15" i="1"/>
  <c r="DV15" i="1"/>
  <c r="DW15" i="1"/>
  <c r="DX15" i="1"/>
  <c r="DZ15" i="1"/>
  <c r="G16" i="1"/>
  <c r="EB16" i="1" s="1"/>
  <c r="BD16" i="1"/>
  <c r="BE16" i="1"/>
  <c r="BI16" i="1"/>
  <c r="CD16" i="1"/>
  <c r="DC16" i="1"/>
  <c r="DG16" i="1"/>
  <c r="EC16" i="1"/>
  <c r="AD17" i="1"/>
  <c r="G17" i="1" s="1"/>
  <c r="EB17" i="1" s="1"/>
  <c r="AH17" i="1"/>
  <c r="BG17" i="1" s="1"/>
  <c r="BC17" i="1"/>
  <c r="BF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BT17" i="1"/>
  <c r="BU17" i="1"/>
  <c r="BV17" i="1"/>
  <c r="BW17" i="1"/>
  <c r="BX17" i="1"/>
  <c r="BY17" i="1"/>
  <c r="BZ17" i="1"/>
  <c r="DA17" i="1"/>
  <c r="CF17" i="1" s="1"/>
  <c r="DD17" i="1"/>
  <c r="DF17" i="1"/>
  <c r="DG17" i="1"/>
  <c r="DH17" i="1"/>
  <c r="DI17" i="1"/>
  <c r="DJ17" i="1"/>
  <c r="DK17" i="1"/>
  <c r="DL17" i="1"/>
  <c r="DM17" i="1"/>
  <c r="DN17" i="1"/>
  <c r="DO17" i="1"/>
  <c r="DP17" i="1"/>
  <c r="DQ17" i="1"/>
  <c r="DR17" i="1"/>
  <c r="DS17" i="1"/>
  <c r="DT17" i="1"/>
  <c r="DU17" i="1"/>
  <c r="DV17" i="1"/>
  <c r="DW17" i="1"/>
  <c r="DX17" i="1"/>
  <c r="DZ17" i="1"/>
  <c r="G18" i="1"/>
  <c r="AW18" i="1"/>
  <c r="AF18" i="1" s="1"/>
  <c r="AE18" i="1" s="1"/>
  <c r="BD18" i="1" s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W18" i="1"/>
  <c r="BX18" i="1"/>
  <c r="BY18" i="1"/>
  <c r="BZ18" i="1"/>
  <c r="CB18" i="1"/>
  <c r="CU18" i="1"/>
  <c r="DD18" i="1"/>
  <c r="DE18" i="1"/>
  <c r="DF18" i="1"/>
  <c r="DG18" i="1"/>
  <c r="DH18" i="1"/>
  <c r="DI18" i="1"/>
  <c r="DJ18" i="1"/>
  <c r="DK18" i="1"/>
  <c r="DL18" i="1"/>
  <c r="DM18" i="1"/>
  <c r="DN18" i="1"/>
  <c r="DO18" i="1"/>
  <c r="DP18" i="1"/>
  <c r="DQ18" i="1"/>
  <c r="DR18" i="1"/>
  <c r="DS18" i="1"/>
  <c r="DU18" i="1"/>
  <c r="DV18" i="1"/>
  <c r="DW18" i="1"/>
  <c r="DX18" i="1"/>
  <c r="DZ18" i="1"/>
  <c r="EB18" i="1"/>
  <c r="G19" i="1"/>
  <c r="AF19" i="1"/>
  <c r="AE19" i="1" s="1"/>
  <c r="BD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BR19" i="1"/>
  <c r="BS19" i="1"/>
  <c r="BT19" i="1"/>
  <c r="BU19" i="1"/>
  <c r="BV19" i="1"/>
  <c r="BW19" i="1"/>
  <c r="BX19" i="1"/>
  <c r="BY19" i="1"/>
  <c r="BZ19" i="1"/>
  <c r="CB19" i="1"/>
  <c r="CC19" i="1"/>
  <c r="DB19" i="1" s="1"/>
  <c r="CD19" i="1"/>
  <c r="DD19" i="1"/>
  <c r="DE19" i="1"/>
  <c r="DF19" i="1"/>
  <c r="DG19" i="1"/>
  <c r="DH19" i="1"/>
  <c r="DI19" i="1"/>
  <c r="DJ19" i="1"/>
  <c r="DK19" i="1"/>
  <c r="DL19" i="1"/>
  <c r="DM19" i="1"/>
  <c r="DN19" i="1"/>
  <c r="DO19" i="1"/>
  <c r="DP19" i="1"/>
  <c r="DQ19" i="1"/>
  <c r="DR19" i="1"/>
  <c r="DS19" i="1"/>
  <c r="DT19" i="1"/>
  <c r="DU19" i="1"/>
  <c r="DV19" i="1"/>
  <c r="DW19" i="1"/>
  <c r="DX19" i="1"/>
  <c r="DZ19" i="1"/>
  <c r="EB19" i="1"/>
  <c r="G20" i="1"/>
  <c r="AW20" i="1"/>
  <c r="BC20" i="1"/>
  <c r="CB20" i="1" s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W20" i="1"/>
  <c r="BX20" i="1"/>
  <c r="BY20" i="1"/>
  <c r="BZ20" i="1"/>
  <c r="CU20" i="1"/>
  <c r="DD20" i="1"/>
  <c r="DE20" i="1"/>
  <c r="DF20" i="1"/>
  <c r="DG20" i="1"/>
  <c r="DH20" i="1"/>
  <c r="DI20" i="1"/>
  <c r="DJ20" i="1"/>
  <c r="DK20" i="1"/>
  <c r="DL20" i="1"/>
  <c r="DM20" i="1"/>
  <c r="DN20" i="1"/>
  <c r="DO20" i="1"/>
  <c r="DP20" i="1"/>
  <c r="DQ20" i="1"/>
  <c r="DR20" i="1"/>
  <c r="DS20" i="1"/>
  <c r="DU20" i="1"/>
  <c r="DV20" i="1"/>
  <c r="DW20" i="1"/>
  <c r="DX20" i="1"/>
  <c r="DZ20" i="1"/>
  <c r="EB20" i="1"/>
  <c r="G21" i="1"/>
  <c r="AH21" i="1"/>
  <c r="BG21" i="1" s="1"/>
  <c r="AI21" i="1"/>
  <c r="BF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BZ21" i="1"/>
  <c r="CB21" i="1"/>
  <c r="CF21" i="1"/>
  <c r="CG21" i="1"/>
  <c r="DF21" i="1" s="1"/>
  <c r="DD21" i="1"/>
  <c r="DE21" i="1"/>
  <c r="DG21" i="1"/>
  <c r="DH21" i="1"/>
  <c r="DI21" i="1"/>
  <c r="DJ21" i="1"/>
  <c r="DK21" i="1"/>
  <c r="DL21" i="1"/>
  <c r="DM21" i="1"/>
  <c r="DN21" i="1"/>
  <c r="DO21" i="1"/>
  <c r="DP21" i="1"/>
  <c r="DQ21" i="1"/>
  <c r="DR21" i="1"/>
  <c r="DS21" i="1"/>
  <c r="DT21" i="1"/>
  <c r="DU21" i="1"/>
  <c r="DV21" i="1"/>
  <c r="DW21" i="1"/>
  <c r="DX21" i="1"/>
  <c r="DZ21" i="1"/>
  <c r="EB21" i="1"/>
  <c r="G22" i="1"/>
  <c r="EB22" i="1" s="1"/>
  <c r="AH22" i="1"/>
  <c r="BG22" i="1" s="1"/>
  <c r="AI22" i="1"/>
  <c r="BH22" i="1" s="1"/>
  <c r="BF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B22" i="1"/>
  <c r="CF22" i="1"/>
  <c r="CG22" i="1"/>
  <c r="DD22" i="1"/>
  <c r="DE22" i="1"/>
  <c r="DG22" i="1"/>
  <c r="DH22" i="1"/>
  <c r="DI22" i="1"/>
  <c r="DJ22" i="1"/>
  <c r="DK22" i="1"/>
  <c r="DL22" i="1"/>
  <c r="DM22" i="1"/>
  <c r="DN22" i="1"/>
  <c r="DO22" i="1"/>
  <c r="DP22" i="1"/>
  <c r="DQ22" i="1"/>
  <c r="DR22" i="1"/>
  <c r="DS22" i="1"/>
  <c r="DT22" i="1"/>
  <c r="DU22" i="1"/>
  <c r="DV22" i="1"/>
  <c r="DW22" i="1"/>
  <c r="DX22" i="1"/>
  <c r="DZ22" i="1"/>
  <c r="G23" i="1"/>
  <c r="EB23" i="1" s="1"/>
  <c r="AH23" i="1"/>
  <c r="AI23" i="1"/>
  <c r="BH23" i="1" s="1"/>
  <c r="BF23" i="1"/>
  <c r="BI23" i="1"/>
  <c r="BJ23" i="1"/>
  <c r="BK23" i="1"/>
  <c r="BL23" i="1"/>
  <c r="BM23" i="1"/>
  <c r="BN23" i="1"/>
  <c r="BO23" i="1"/>
  <c r="BP23" i="1"/>
  <c r="BQ23" i="1"/>
  <c r="BR23" i="1"/>
  <c r="BS23" i="1"/>
  <c r="BT23" i="1"/>
  <c r="BU23" i="1"/>
  <c r="BV23" i="1"/>
  <c r="BW23" i="1"/>
  <c r="BX23" i="1"/>
  <c r="BY23" i="1"/>
  <c r="BZ23" i="1"/>
  <c r="CB23" i="1"/>
  <c r="CF23" i="1"/>
  <c r="DE23" i="1" s="1"/>
  <c r="CG23" i="1"/>
  <c r="DF23" i="1" s="1"/>
  <c r="DD23" i="1"/>
  <c r="DG23" i="1"/>
  <c r="DH23" i="1"/>
  <c r="DI23" i="1"/>
  <c r="DJ23" i="1"/>
  <c r="DK23" i="1"/>
  <c r="DL23" i="1"/>
  <c r="DM23" i="1"/>
  <c r="DN23" i="1"/>
  <c r="DO23" i="1"/>
  <c r="DP23" i="1"/>
  <c r="DQ23" i="1"/>
  <c r="DR23" i="1"/>
  <c r="DS23" i="1"/>
  <c r="DT23" i="1"/>
  <c r="DU23" i="1"/>
  <c r="DV23" i="1"/>
  <c r="DW23" i="1"/>
  <c r="DX23" i="1"/>
  <c r="DZ23" i="1"/>
  <c r="G24" i="1"/>
  <c r="EB24" i="1" s="1"/>
  <c r="AH24" i="1"/>
  <c r="AF24" i="1" s="1"/>
  <c r="BF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BT24" i="1"/>
  <c r="BU24" i="1"/>
  <c r="BV24" i="1"/>
  <c r="BW24" i="1"/>
  <c r="BX24" i="1"/>
  <c r="BY24" i="1"/>
  <c r="BZ24" i="1"/>
  <c r="CB24" i="1"/>
  <c r="CF24" i="1"/>
  <c r="DD24" i="1"/>
  <c r="DF24" i="1"/>
  <c r="DG24" i="1"/>
  <c r="DH24" i="1"/>
  <c r="DI24" i="1"/>
  <c r="DJ24" i="1"/>
  <c r="DK24" i="1"/>
  <c r="DL24" i="1"/>
  <c r="DM24" i="1"/>
  <c r="DN24" i="1"/>
  <c r="DO24" i="1"/>
  <c r="DP24" i="1"/>
  <c r="DQ24" i="1"/>
  <c r="DR24" i="1"/>
  <c r="DS24" i="1"/>
  <c r="DT24" i="1"/>
  <c r="DU24" i="1"/>
  <c r="DV24" i="1"/>
  <c r="DW24" i="1"/>
  <c r="DX24" i="1"/>
  <c r="DZ24" i="1"/>
  <c r="G25" i="1"/>
  <c r="AH25" i="1"/>
  <c r="AI25" i="1"/>
  <c r="BH25" i="1" s="1"/>
  <c r="BF25" i="1"/>
  <c r="BI25" i="1"/>
  <c r="BJ25" i="1"/>
  <c r="BK25" i="1"/>
  <c r="BL25" i="1"/>
  <c r="BM25" i="1"/>
  <c r="BN25" i="1"/>
  <c r="BO25" i="1"/>
  <c r="BP25" i="1"/>
  <c r="BQ25" i="1"/>
  <c r="BR25" i="1"/>
  <c r="BS25" i="1"/>
  <c r="BT25" i="1"/>
  <c r="BU25" i="1"/>
  <c r="BV25" i="1"/>
  <c r="BW25" i="1"/>
  <c r="BX25" i="1"/>
  <c r="BY25" i="1"/>
  <c r="BZ25" i="1"/>
  <c r="CB25" i="1"/>
  <c r="CD25" i="1"/>
  <c r="CG25" i="1"/>
  <c r="CF25" i="1" s="1"/>
  <c r="DE25" i="1" s="1"/>
  <c r="DD25" i="1"/>
  <c r="DG25" i="1"/>
  <c r="DH25" i="1"/>
  <c r="DI25" i="1"/>
  <c r="DJ25" i="1"/>
  <c r="DK25" i="1"/>
  <c r="DL25" i="1"/>
  <c r="DM25" i="1"/>
  <c r="DN25" i="1"/>
  <c r="DO25" i="1"/>
  <c r="DP25" i="1"/>
  <c r="DQ25" i="1"/>
  <c r="DR25" i="1"/>
  <c r="DS25" i="1"/>
  <c r="DT25" i="1"/>
  <c r="DU25" i="1"/>
  <c r="DV25" i="1"/>
  <c r="DW25" i="1"/>
  <c r="DX25" i="1"/>
  <c r="DZ25" i="1"/>
  <c r="EB25" i="1"/>
  <c r="G26" i="1"/>
  <c r="EB26" i="1" s="1"/>
  <c r="I26" i="1"/>
  <c r="AD26" i="1"/>
  <c r="AH26" i="1"/>
  <c r="BG26" i="1" s="1"/>
  <c r="BC26" i="1"/>
  <c r="CB26" i="1" s="1"/>
  <c r="BF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BX26" i="1"/>
  <c r="BY26" i="1"/>
  <c r="BZ26" i="1"/>
  <c r="CF26" i="1"/>
  <c r="DA26" i="1" s="1"/>
  <c r="DD26" i="1"/>
  <c r="DE26" i="1"/>
  <c r="DF26" i="1"/>
  <c r="DG26" i="1"/>
  <c r="DH26" i="1"/>
  <c r="DI26" i="1"/>
  <c r="DJ26" i="1"/>
  <c r="DK26" i="1"/>
  <c r="DL26" i="1"/>
  <c r="DM26" i="1"/>
  <c r="DN26" i="1"/>
  <c r="DO26" i="1"/>
  <c r="DP26" i="1"/>
  <c r="DQ26" i="1"/>
  <c r="DR26" i="1"/>
  <c r="DS26" i="1"/>
  <c r="DT26" i="1"/>
  <c r="DU26" i="1"/>
  <c r="DV26" i="1"/>
  <c r="DW26" i="1"/>
  <c r="DX26" i="1"/>
  <c r="AD27" i="1"/>
  <c r="AF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BT27" i="1"/>
  <c r="BU27" i="1"/>
  <c r="BV27" i="1"/>
  <c r="BW27" i="1"/>
  <c r="BX27" i="1"/>
  <c r="BY27" i="1"/>
  <c r="BZ27" i="1"/>
  <c r="CD27" i="1"/>
  <c r="DD27" i="1"/>
  <c r="DE27" i="1"/>
  <c r="DF27" i="1"/>
  <c r="DG27" i="1"/>
  <c r="DH27" i="1"/>
  <c r="DI27" i="1"/>
  <c r="DJ27" i="1"/>
  <c r="DK27" i="1"/>
  <c r="DL27" i="1"/>
  <c r="DM27" i="1"/>
  <c r="DN27" i="1"/>
  <c r="DO27" i="1"/>
  <c r="DP27" i="1"/>
  <c r="DQ27" i="1"/>
  <c r="DR27" i="1"/>
  <c r="DS27" i="1"/>
  <c r="DT27" i="1"/>
  <c r="DU27" i="1"/>
  <c r="DV27" i="1"/>
  <c r="DW27" i="1"/>
  <c r="DX27" i="1"/>
  <c r="G28" i="1"/>
  <c r="I28" i="1"/>
  <c r="AD28" i="1"/>
  <c r="AH28" i="1"/>
  <c r="BC28" i="1"/>
  <c r="BF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BZ28" i="1"/>
  <c r="CB28" i="1"/>
  <c r="DA28" i="1"/>
  <c r="CF28" i="1" s="1"/>
  <c r="CD28" i="1" s="1"/>
  <c r="CC28" i="1" s="1"/>
  <c r="DB28" i="1" s="1"/>
  <c r="DD28" i="1"/>
  <c r="DF28" i="1"/>
  <c r="DG28" i="1"/>
  <c r="DH28" i="1"/>
  <c r="DI28" i="1"/>
  <c r="DJ28" i="1"/>
  <c r="DK28" i="1"/>
  <c r="DL28" i="1"/>
  <c r="DM28" i="1"/>
  <c r="DN28" i="1"/>
  <c r="DO28" i="1"/>
  <c r="DP28" i="1"/>
  <c r="DQ28" i="1"/>
  <c r="DR28" i="1"/>
  <c r="DS28" i="1"/>
  <c r="DT28" i="1"/>
  <c r="DU28" i="1"/>
  <c r="DV28" i="1"/>
  <c r="DW28" i="1"/>
  <c r="DX28" i="1"/>
  <c r="DZ28" i="1"/>
  <c r="EB28" i="1"/>
  <c r="G29" i="1"/>
  <c r="AF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BT29" i="1"/>
  <c r="BU29" i="1"/>
  <c r="BV29" i="1"/>
  <c r="BW29" i="1"/>
  <c r="BX29" i="1"/>
  <c r="BY29" i="1"/>
  <c r="BZ29" i="1"/>
  <c r="CB29" i="1"/>
  <c r="CC29" i="1"/>
  <c r="CD29" i="1"/>
  <c r="DB29" i="1"/>
  <c r="DD29" i="1"/>
  <c r="DE29" i="1"/>
  <c r="DF29" i="1"/>
  <c r="DG29" i="1"/>
  <c r="DH29" i="1"/>
  <c r="DI29" i="1"/>
  <c r="DJ29" i="1"/>
  <c r="DK29" i="1"/>
  <c r="DL29" i="1"/>
  <c r="DM29" i="1"/>
  <c r="DN29" i="1"/>
  <c r="DO29" i="1"/>
  <c r="DP29" i="1"/>
  <c r="DQ29" i="1"/>
  <c r="DR29" i="1"/>
  <c r="DS29" i="1"/>
  <c r="DT29" i="1"/>
  <c r="DU29" i="1"/>
  <c r="DV29" i="1"/>
  <c r="DW29" i="1"/>
  <c r="DX29" i="1"/>
  <c r="DZ29" i="1"/>
  <c r="EB29" i="1"/>
  <c r="G30" i="1"/>
  <c r="AH30" i="1"/>
  <c r="BG30" i="1" s="1"/>
  <c r="AW30" i="1"/>
  <c r="BD30" i="1"/>
  <c r="BF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BT30" i="1"/>
  <c r="BU30" i="1"/>
  <c r="BW30" i="1"/>
  <c r="BX30" i="1"/>
  <c r="BY30" i="1"/>
  <c r="BZ30" i="1"/>
  <c r="CB30" i="1"/>
  <c r="CF30" i="1"/>
  <c r="CU30" i="1"/>
  <c r="DT30" i="1" s="1"/>
  <c r="DD30" i="1"/>
  <c r="DE30" i="1"/>
  <c r="DF30" i="1"/>
  <c r="DG30" i="1"/>
  <c r="DH30" i="1"/>
  <c r="DI30" i="1"/>
  <c r="DJ30" i="1"/>
  <c r="DK30" i="1"/>
  <c r="DL30" i="1"/>
  <c r="DM30" i="1"/>
  <c r="DN30" i="1"/>
  <c r="DO30" i="1"/>
  <c r="DP30" i="1"/>
  <c r="DQ30" i="1"/>
  <c r="DR30" i="1"/>
  <c r="DS30" i="1"/>
  <c r="DU30" i="1"/>
  <c r="DV30" i="1"/>
  <c r="DW30" i="1"/>
  <c r="DX30" i="1"/>
  <c r="DZ30" i="1"/>
  <c r="EB30" i="1"/>
  <c r="G31" i="1"/>
  <c r="EB31" i="1" s="1"/>
  <c r="AH31" i="1"/>
  <c r="BG31" i="1" s="1"/>
  <c r="BF31" i="1"/>
  <c r="BH31" i="1"/>
  <c r="BI31" i="1"/>
  <c r="BJ31" i="1"/>
  <c r="BK31" i="1"/>
  <c r="BL31" i="1"/>
  <c r="BM31" i="1"/>
  <c r="BN31" i="1"/>
  <c r="BO31" i="1"/>
  <c r="BP31" i="1"/>
  <c r="BQ31" i="1"/>
  <c r="BR31" i="1"/>
  <c r="BS31" i="1"/>
  <c r="BT31" i="1"/>
  <c r="BU31" i="1"/>
  <c r="BV31" i="1"/>
  <c r="BW31" i="1"/>
  <c r="BX31" i="1"/>
  <c r="BY31" i="1"/>
  <c r="BZ31" i="1"/>
  <c r="CB31" i="1"/>
  <c r="CD31" i="1"/>
  <c r="DD31" i="1"/>
  <c r="DE31" i="1"/>
  <c r="DF31" i="1"/>
  <c r="DG31" i="1"/>
  <c r="DH31" i="1"/>
  <c r="DI31" i="1"/>
  <c r="DJ31" i="1"/>
  <c r="DK31" i="1"/>
  <c r="DL31" i="1"/>
  <c r="DM31" i="1"/>
  <c r="DN31" i="1"/>
  <c r="DO31" i="1"/>
  <c r="DP31" i="1"/>
  <c r="DQ31" i="1"/>
  <c r="DR31" i="1"/>
  <c r="DS31" i="1"/>
  <c r="DT31" i="1"/>
  <c r="DU31" i="1"/>
  <c r="DV31" i="1"/>
  <c r="DW31" i="1"/>
  <c r="DX31" i="1"/>
  <c r="DZ31" i="1"/>
  <c r="AD32" i="1"/>
  <c r="G32" i="1" s="1"/>
  <c r="EB32" i="1" s="1"/>
  <c r="AH32" i="1"/>
  <c r="BG32" i="1" s="1"/>
  <c r="BC32" i="1"/>
  <c r="CB32" i="1" s="1"/>
  <c r="BF32" i="1"/>
  <c r="BH32" i="1"/>
  <c r="BI32" i="1"/>
  <c r="BJ32" i="1"/>
  <c r="BK32" i="1"/>
  <c r="BL32" i="1"/>
  <c r="BM32" i="1"/>
  <c r="BN32" i="1"/>
  <c r="BO32" i="1"/>
  <c r="BP32" i="1"/>
  <c r="BQ32" i="1"/>
  <c r="BR32" i="1"/>
  <c r="BS32" i="1"/>
  <c r="BT32" i="1"/>
  <c r="BU32" i="1"/>
  <c r="BV32" i="1"/>
  <c r="BW32" i="1"/>
  <c r="BX32" i="1"/>
  <c r="BY32" i="1"/>
  <c r="BZ32" i="1"/>
  <c r="CF32" i="1"/>
  <c r="DE32" i="1" s="1"/>
  <c r="DA32" i="1"/>
  <c r="DZ32" i="1" s="1"/>
  <c r="DD32" i="1"/>
  <c r="DF32" i="1"/>
  <c r="DG32" i="1"/>
  <c r="DH32" i="1"/>
  <c r="DI32" i="1"/>
  <c r="DJ32" i="1"/>
  <c r="DK32" i="1"/>
  <c r="DL32" i="1"/>
  <c r="DM32" i="1"/>
  <c r="DN32" i="1"/>
  <c r="DO32" i="1"/>
  <c r="DP32" i="1"/>
  <c r="DQ32" i="1"/>
  <c r="DR32" i="1"/>
  <c r="DS32" i="1"/>
  <c r="DT32" i="1"/>
  <c r="DU32" i="1"/>
  <c r="DV32" i="1"/>
  <c r="DW32" i="1"/>
  <c r="DX32" i="1"/>
  <c r="I33" i="1"/>
  <c r="Y33" i="1"/>
  <c r="AH33" i="1"/>
  <c r="BG33" i="1" s="1"/>
  <c r="BF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X33" i="1"/>
  <c r="BY33" i="1"/>
  <c r="BZ33" i="1"/>
  <c r="CB33" i="1"/>
  <c r="CF33" i="1"/>
  <c r="DD33" i="1"/>
  <c r="DF33" i="1"/>
  <c r="DG33" i="1"/>
  <c r="DH33" i="1"/>
  <c r="DI33" i="1"/>
  <c r="DJ33" i="1"/>
  <c r="DK33" i="1"/>
  <c r="DL33" i="1"/>
  <c r="DM33" i="1"/>
  <c r="DN33" i="1"/>
  <c r="DO33" i="1"/>
  <c r="DP33" i="1"/>
  <c r="DQ33" i="1"/>
  <c r="DR33" i="1"/>
  <c r="DS33" i="1"/>
  <c r="DT33" i="1"/>
  <c r="DV33" i="1"/>
  <c r="DW33" i="1"/>
  <c r="DX33" i="1"/>
  <c r="DZ33" i="1"/>
  <c r="G34" i="1"/>
  <c r="EB34" i="1" s="1"/>
  <c r="I34" i="1"/>
  <c r="Y34" i="1"/>
  <c r="AD34" i="1"/>
  <c r="AH34" i="1"/>
  <c r="BG34" i="1" s="1"/>
  <c r="AW34" i="1"/>
  <c r="BV34" i="1" s="1"/>
  <c r="AX34" i="1"/>
  <c r="BC34" i="1"/>
  <c r="BF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BT34" i="1"/>
  <c r="BU34" i="1"/>
  <c r="BX34" i="1"/>
  <c r="BY34" i="1"/>
  <c r="BZ34" i="1"/>
  <c r="CF34" i="1"/>
  <c r="CU34" i="1"/>
  <c r="CV34" i="1"/>
  <c r="DD34" i="1"/>
  <c r="DF34" i="1"/>
  <c r="DG34" i="1"/>
  <c r="DH34" i="1"/>
  <c r="DI34" i="1"/>
  <c r="DJ34" i="1"/>
  <c r="DK34" i="1"/>
  <c r="DL34" i="1"/>
  <c r="DM34" i="1"/>
  <c r="DN34" i="1"/>
  <c r="DO34" i="1"/>
  <c r="DP34" i="1"/>
  <c r="DQ34" i="1"/>
  <c r="DR34" i="1"/>
  <c r="DS34" i="1"/>
  <c r="DV34" i="1"/>
  <c r="DW34" i="1"/>
  <c r="DX34" i="1"/>
  <c r="P35" i="1"/>
  <c r="U35" i="1"/>
  <c r="AD35" i="1"/>
  <c r="AM35" i="1"/>
  <c r="AM147" i="1" s="1"/>
  <c r="AN35" i="1"/>
  <c r="BM35" i="1" s="1"/>
  <c r="AV35" i="1"/>
  <c r="AV39" i="1" s="1"/>
  <c r="BC35" i="1"/>
  <c r="BF35" i="1"/>
  <c r="BG35" i="1"/>
  <c r="BH35" i="1"/>
  <c r="BI35" i="1"/>
  <c r="BJ35" i="1"/>
  <c r="BK35" i="1"/>
  <c r="BO35" i="1"/>
  <c r="BP35" i="1"/>
  <c r="BQ35" i="1"/>
  <c r="BR35" i="1"/>
  <c r="BS35" i="1"/>
  <c r="BT35" i="1"/>
  <c r="BU35" i="1"/>
  <c r="BV35" i="1"/>
  <c r="BW35" i="1"/>
  <c r="BX35" i="1"/>
  <c r="BY35" i="1"/>
  <c r="BZ35" i="1"/>
  <c r="CK35" i="1"/>
  <c r="CK39" i="1" s="1"/>
  <c r="CK144" i="1" s="1"/>
  <c r="CL35" i="1"/>
  <c r="CT35" i="1"/>
  <c r="DA35" i="1"/>
  <c r="DD35" i="1"/>
  <c r="DE35" i="1"/>
  <c r="DF35" i="1"/>
  <c r="DG35" i="1"/>
  <c r="DH35" i="1"/>
  <c r="DI35" i="1"/>
  <c r="DJ35" i="1"/>
  <c r="DL35" i="1"/>
  <c r="DM35" i="1"/>
  <c r="DN35" i="1"/>
  <c r="DO35" i="1"/>
  <c r="DP35" i="1"/>
  <c r="DR35" i="1"/>
  <c r="DT35" i="1"/>
  <c r="DU35" i="1"/>
  <c r="DV35" i="1"/>
  <c r="DW35" i="1"/>
  <c r="DX35" i="1"/>
  <c r="G36" i="1"/>
  <c r="AW36" i="1"/>
  <c r="AF36" i="1" s="1"/>
  <c r="BF36" i="1"/>
  <c r="BG36" i="1"/>
  <c r="BH36" i="1"/>
  <c r="BI36" i="1"/>
  <c r="BJ36" i="1"/>
  <c r="BK36" i="1"/>
  <c r="BL36" i="1"/>
  <c r="BM36" i="1"/>
  <c r="BN36" i="1"/>
  <c r="BO36" i="1"/>
  <c r="BP36" i="1"/>
  <c r="BQ36" i="1"/>
  <c r="BR36" i="1"/>
  <c r="BS36" i="1"/>
  <c r="BT36" i="1"/>
  <c r="BU36" i="1"/>
  <c r="BW36" i="1"/>
  <c r="BX36" i="1"/>
  <c r="BY36" i="1"/>
  <c r="BZ36" i="1"/>
  <c r="CB36" i="1"/>
  <c r="CD36" i="1"/>
  <c r="DD36" i="1"/>
  <c r="DE36" i="1"/>
  <c r="DF36" i="1"/>
  <c r="DG36" i="1"/>
  <c r="DH36" i="1"/>
  <c r="DI36" i="1"/>
  <c r="DJ36" i="1"/>
  <c r="DK36" i="1"/>
  <c r="DL36" i="1"/>
  <c r="DM36" i="1"/>
  <c r="DN36" i="1"/>
  <c r="DO36" i="1"/>
  <c r="DP36" i="1"/>
  <c r="DQ36" i="1"/>
  <c r="DR36" i="1"/>
  <c r="DS36" i="1"/>
  <c r="DT36" i="1"/>
  <c r="DU36" i="1"/>
  <c r="DV36" i="1"/>
  <c r="DW36" i="1"/>
  <c r="DX36" i="1"/>
  <c r="DZ36" i="1"/>
  <c r="EB36" i="1"/>
  <c r="G37" i="1"/>
  <c r="AW37" i="1"/>
  <c r="AF37" i="1" s="1"/>
  <c r="AE37" i="1" s="1"/>
  <c r="BD37" i="1" s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R37" i="1"/>
  <c r="BS37" i="1"/>
  <c r="BT37" i="1"/>
  <c r="BU37" i="1"/>
  <c r="BW37" i="1"/>
  <c r="BX37" i="1"/>
  <c r="BY37" i="1"/>
  <c r="BZ37" i="1"/>
  <c r="CB37" i="1"/>
  <c r="CU37" i="1"/>
  <c r="DT37" i="1" s="1"/>
  <c r="DD37" i="1"/>
  <c r="DE37" i="1"/>
  <c r="DF37" i="1"/>
  <c r="DG37" i="1"/>
  <c r="DH37" i="1"/>
  <c r="DI37" i="1"/>
  <c r="DJ37" i="1"/>
  <c r="DK37" i="1"/>
  <c r="DL37" i="1"/>
  <c r="DM37" i="1"/>
  <c r="DN37" i="1"/>
  <c r="DO37" i="1"/>
  <c r="DP37" i="1"/>
  <c r="DQ37" i="1"/>
  <c r="DR37" i="1"/>
  <c r="DS37" i="1"/>
  <c r="DU37" i="1"/>
  <c r="DV37" i="1"/>
  <c r="DW37" i="1"/>
  <c r="DX37" i="1"/>
  <c r="DZ37" i="1"/>
  <c r="EB37" i="1"/>
  <c r="G38" i="1"/>
  <c r="AW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BR38" i="1"/>
  <c r="BS38" i="1"/>
  <c r="BT38" i="1"/>
  <c r="BU38" i="1"/>
  <c r="BW38" i="1"/>
  <c r="BX38" i="1"/>
  <c r="BY38" i="1"/>
  <c r="BZ38" i="1"/>
  <c r="CB38" i="1"/>
  <c r="CU38" i="1"/>
  <c r="DT38" i="1" s="1"/>
  <c r="DD38" i="1"/>
  <c r="DE38" i="1"/>
  <c r="DF38" i="1"/>
  <c r="DG38" i="1"/>
  <c r="DH38" i="1"/>
  <c r="DI38" i="1"/>
  <c r="DJ38" i="1"/>
  <c r="DK38" i="1"/>
  <c r="DL38" i="1"/>
  <c r="DM38" i="1"/>
  <c r="DN38" i="1"/>
  <c r="DO38" i="1"/>
  <c r="DP38" i="1"/>
  <c r="DQ38" i="1"/>
  <c r="DR38" i="1"/>
  <c r="DS38" i="1"/>
  <c r="DU38" i="1"/>
  <c r="DV38" i="1"/>
  <c r="DW38" i="1"/>
  <c r="DX38" i="1"/>
  <c r="DZ38" i="1"/>
  <c r="EB38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V39" i="1"/>
  <c r="W39" i="1"/>
  <c r="Z39" i="1"/>
  <c r="AA39" i="1"/>
  <c r="AB39" i="1"/>
  <c r="AC39" i="1"/>
  <c r="AG39" i="1"/>
  <c r="AK39" i="1"/>
  <c r="AL39" i="1"/>
  <c r="AO39" i="1"/>
  <c r="AQ39" i="1"/>
  <c r="AR39" i="1"/>
  <c r="AS39" i="1"/>
  <c r="AT39" i="1"/>
  <c r="AU39" i="1"/>
  <c r="AY39" i="1"/>
  <c r="AZ39" i="1"/>
  <c r="BA39" i="1"/>
  <c r="BB39" i="1"/>
  <c r="CE39" i="1"/>
  <c r="CI39" i="1"/>
  <c r="CJ39" i="1"/>
  <c r="CM39" i="1"/>
  <c r="CN39" i="1"/>
  <c r="CO39" i="1"/>
  <c r="CP39" i="1"/>
  <c r="CQ39" i="1"/>
  <c r="CR39" i="1"/>
  <c r="CS39" i="1"/>
  <c r="CW39" i="1"/>
  <c r="CX39" i="1"/>
  <c r="CY39" i="1"/>
  <c r="G40" i="1"/>
  <c r="O40" i="1"/>
  <c r="AN40" i="1"/>
  <c r="AF40" i="1" s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BT40" i="1"/>
  <c r="BU40" i="1"/>
  <c r="BV40" i="1"/>
  <c r="BW40" i="1"/>
  <c r="BX40" i="1"/>
  <c r="BY40" i="1"/>
  <c r="BZ40" i="1"/>
  <c r="CB40" i="1"/>
  <c r="CL40" i="1"/>
  <c r="CD40" i="1" s="1"/>
  <c r="DD40" i="1"/>
  <c r="DE40" i="1"/>
  <c r="DF40" i="1"/>
  <c r="DG40" i="1"/>
  <c r="DH40" i="1"/>
  <c r="DI40" i="1"/>
  <c r="DJ40" i="1"/>
  <c r="DL40" i="1"/>
  <c r="DM40" i="1"/>
  <c r="DN40" i="1"/>
  <c r="DO40" i="1"/>
  <c r="DP40" i="1"/>
  <c r="DQ40" i="1"/>
  <c r="DR40" i="1"/>
  <c r="DS40" i="1"/>
  <c r="DT40" i="1"/>
  <c r="DU40" i="1"/>
  <c r="DV40" i="1"/>
  <c r="DW40" i="1"/>
  <c r="DX40" i="1"/>
  <c r="DZ40" i="1"/>
  <c r="EB40" i="1"/>
  <c r="O41" i="1"/>
  <c r="Z41" i="1"/>
  <c r="AN41" i="1"/>
  <c r="AR41" i="1"/>
  <c r="BQ41" i="1" s="1"/>
  <c r="AY41" i="1"/>
  <c r="BF41" i="1"/>
  <c r="BG41" i="1"/>
  <c r="BH41" i="1"/>
  <c r="BI41" i="1"/>
  <c r="BJ41" i="1"/>
  <c r="BK41" i="1"/>
  <c r="BL41" i="1"/>
  <c r="BN41" i="1"/>
  <c r="BO41" i="1"/>
  <c r="BP41" i="1"/>
  <c r="BR41" i="1"/>
  <c r="BS41" i="1"/>
  <c r="BT41" i="1"/>
  <c r="BU41" i="1"/>
  <c r="BV41" i="1"/>
  <c r="BW41" i="1"/>
  <c r="BY41" i="1"/>
  <c r="BZ41" i="1"/>
  <c r="CB41" i="1"/>
  <c r="CD41" i="1"/>
  <c r="CL41" i="1"/>
  <c r="DD41" i="1"/>
  <c r="DE41" i="1"/>
  <c r="DF41" i="1"/>
  <c r="DG41" i="1"/>
  <c r="DH41" i="1"/>
  <c r="DI41" i="1"/>
  <c r="DJ41" i="1"/>
  <c r="DL41" i="1"/>
  <c r="DM41" i="1"/>
  <c r="DN41" i="1"/>
  <c r="DO41" i="1"/>
  <c r="DP41" i="1"/>
  <c r="DQ41" i="1"/>
  <c r="DR41" i="1"/>
  <c r="DS41" i="1"/>
  <c r="DT41" i="1"/>
  <c r="DU41" i="1"/>
  <c r="DW41" i="1"/>
  <c r="DX41" i="1"/>
  <c r="DZ41" i="1"/>
  <c r="O42" i="1"/>
  <c r="AD42" i="1"/>
  <c r="G42" i="1" s="1"/>
  <c r="EB42" i="1" s="1"/>
  <c r="AN42" i="1"/>
  <c r="BC42" i="1"/>
  <c r="BF42" i="1"/>
  <c r="BG42" i="1"/>
  <c r="BH42" i="1"/>
  <c r="BI42" i="1"/>
  <c r="BJ42" i="1"/>
  <c r="BK42" i="1"/>
  <c r="BL42" i="1"/>
  <c r="BN42" i="1"/>
  <c r="BO42" i="1"/>
  <c r="BP42" i="1"/>
  <c r="BQ42" i="1"/>
  <c r="BR42" i="1"/>
  <c r="BS42" i="1"/>
  <c r="BT42" i="1"/>
  <c r="BU42" i="1"/>
  <c r="BV42" i="1"/>
  <c r="BW42" i="1"/>
  <c r="BX42" i="1"/>
  <c r="BY42" i="1"/>
  <c r="BZ42" i="1"/>
  <c r="DA42" i="1"/>
  <c r="DD42" i="1"/>
  <c r="DE42" i="1"/>
  <c r="DF42" i="1"/>
  <c r="DG42" i="1"/>
  <c r="DH42" i="1"/>
  <c r="DI42" i="1"/>
  <c r="DJ42" i="1"/>
  <c r="DL42" i="1"/>
  <c r="DM42" i="1"/>
  <c r="DN42" i="1"/>
  <c r="DO42" i="1"/>
  <c r="DP42" i="1"/>
  <c r="DQ42" i="1"/>
  <c r="DR42" i="1"/>
  <c r="DS42" i="1"/>
  <c r="DT42" i="1"/>
  <c r="DU42" i="1"/>
  <c r="DV42" i="1"/>
  <c r="DW42" i="1"/>
  <c r="DX42" i="1"/>
  <c r="Z43" i="1"/>
  <c r="AN43" i="1"/>
  <c r="BM43" i="1" s="1"/>
  <c r="AY43" i="1"/>
  <c r="BF43" i="1"/>
  <c r="BG43" i="1"/>
  <c r="BH43" i="1"/>
  <c r="BI43" i="1"/>
  <c r="BJ43" i="1"/>
  <c r="BK43" i="1"/>
  <c r="BL43" i="1"/>
  <c r="BN43" i="1"/>
  <c r="BO43" i="1"/>
  <c r="BP43" i="1"/>
  <c r="BQ43" i="1"/>
  <c r="BR43" i="1"/>
  <c r="BS43" i="1"/>
  <c r="BT43" i="1"/>
  <c r="BU43" i="1"/>
  <c r="BV43" i="1"/>
  <c r="BW43" i="1"/>
  <c r="BY43" i="1"/>
  <c r="BZ43" i="1"/>
  <c r="CB43" i="1"/>
  <c r="CW43" i="1"/>
  <c r="CL43" i="1" s="1"/>
  <c r="DD43" i="1"/>
  <c r="DE43" i="1"/>
  <c r="DF43" i="1"/>
  <c r="DG43" i="1"/>
  <c r="DH43" i="1"/>
  <c r="DI43" i="1"/>
  <c r="DJ43" i="1"/>
  <c r="DL43" i="1"/>
  <c r="DM43" i="1"/>
  <c r="DN43" i="1"/>
  <c r="DO43" i="1"/>
  <c r="DP43" i="1"/>
  <c r="DQ43" i="1"/>
  <c r="DR43" i="1"/>
  <c r="DS43" i="1"/>
  <c r="DT43" i="1"/>
  <c r="DU43" i="1"/>
  <c r="DW43" i="1"/>
  <c r="DX43" i="1"/>
  <c r="DZ43" i="1"/>
  <c r="G44" i="1"/>
  <c r="EB44" i="1" s="1"/>
  <c r="V44" i="1"/>
  <c r="DR44" i="1" s="1"/>
  <c r="AD44" i="1"/>
  <c r="AS44" i="1"/>
  <c r="AS80" i="1" s="1"/>
  <c r="AS144" i="1" s="1"/>
  <c r="AT44" i="1"/>
  <c r="AU44" i="1"/>
  <c r="AU80" i="1" s="1"/>
  <c r="AY44" i="1"/>
  <c r="BX44" i="1" s="1"/>
  <c r="BC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BU44" i="1"/>
  <c r="BV44" i="1"/>
  <c r="BW44" i="1"/>
  <c r="BY44" i="1"/>
  <c r="BZ44" i="1"/>
  <c r="CQ44" i="1"/>
  <c r="CR44" i="1"/>
  <c r="CS44" i="1"/>
  <c r="CW44" i="1"/>
  <c r="DV44" i="1" s="1"/>
  <c r="DA44" i="1"/>
  <c r="DD44" i="1"/>
  <c r="DE44" i="1"/>
  <c r="DF44" i="1"/>
  <c r="DG44" i="1"/>
  <c r="DH44" i="1"/>
  <c r="DI44" i="1"/>
  <c r="DJ44" i="1"/>
  <c r="DK44" i="1"/>
  <c r="DL44" i="1"/>
  <c r="DM44" i="1"/>
  <c r="DN44" i="1"/>
  <c r="DO44" i="1"/>
  <c r="DS44" i="1"/>
  <c r="DT44" i="1"/>
  <c r="DU44" i="1"/>
  <c r="DW44" i="1"/>
  <c r="DX44" i="1"/>
  <c r="G45" i="1"/>
  <c r="AN45" i="1"/>
  <c r="BM45" i="1" s="1"/>
  <c r="AY45" i="1"/>
  <c r="BX45" i="1" s="1"/>
  <c r="BF45" i="1"/>
  <c r="BG45" i="1"/>
  <c r="BH45" i="1"/>
  <c r="BI45" i="1"/>
  <c r="BJ45" i="1"/>
  <c r="BK45" i="1"/>
  <c r="BL45" i="1"/>
  <c r="BN45" i="1"/>
  <c r="BO45" i="1"/>
  <c r="BP45" i="1"/>
  <c r="BQ45" i="1"/>
  <c r="BR45" i="1"/>
  <c r="BS45" i="1"/>
  <c r="BT45" i="1"/>
  <c r="BU45" i="1"/>
  <c r="BV45" i="1"/>
  <c r="BW45" i="1"/>
  <c r="BY45" i="1"/>
  <c r="BZ45" i="1"/>
  <c r="CB45" i="1"/>
  <c r="CL45" i="1"/>
  <c r="CW45" i="1" s="1"/>
  <c r="DV45" i="1" s="1"/>
  <c r="DD45" i="1"/>
  <c r="DE45" i="1"/>
  <c r="DF45" i="1"/>
  <c r="DG45" i="1"/>
  <c r="DH45" i="1"/>
  <c r="DI45" i="1"/>
  <c r="DJ45" i="1"/>
  <c r="DL45" i="1"/>
  <c r="DM45" i="1"/>
  <c r="DN45" i="1"/>
  <c r="DO45" i="1"/>
  <c r="DP45" i="1"/>
  <c r="DQ45" i="1"/>
  <c r="DR45" i="1"/>
  <c r="DS45" i="1"/>
  <c r="DT45" i="1"/>
  <c r="DU45" i="1"/>
  <c r="DW45" i="1"/>
  <c r="DX45" i="1"/>
  <c r="DZ45" i="1"/>
  <c r="EB45" i="1"/>
  <c r="O46" i="1"/>
  <c r="AD46" i="1"/>
  <c r="AN46" i="1"/>
  <c r="AF46" i="1" s="1"/>
  <c r="BC46" i="1"/>
  <c r="BF46" i="1"/>
  <c r="BG46" i="1"/>
  <c r="BH46" i="1"/>
  <c r="BI46" i="1"/>
  <c r="BJ46" i="1"/>
  <c r="BK46" i="1"/>
  <c r="BL46" i="1"/>
  <c r="BN46" i="1"/>
  <c r="BO46" i="1"/>
  <c r="BP46" i="1"/>
  <c r="BQ46" i="1"/>
  <c r="BR46" i="1"/>
  <c r="BS46" i="1"/>
  <c r="BT46" i="1"/>
  <c r="BU46" i="1"/>
  <c r="BV46" i="1"/>
  <c r="BW46" i="1"/>
  <c r="BX46" i="1"/>
  <c r="BY46" i="1"/>
  <c r="BZ46" i="1"/>
  <c r="CL46" i="1"/>
  <c r="DD46" i="1"/>
  <c r="DE46" i="1"/>
  <c r="DF46" i="1"/>
  <c r="DG46" i="1"/>
  <c r="DH46" i="1"/>
  <c r="DI46" i="1"/>
  <c r="DJ46" i="1"/>
  <c r="DL46" i="1"/>
  <c r="DM46" i="1"/>
  <c r="DN46" i="1"/>
  <c r="DO46" i="1"/>
  <c r="DP46" i="1"/>
  <c r="DQ46" i="1"/>
  <c r="DR46" i="1"/>
  <c r="DS46" i="1"/>
  <c r="DT46" i="1"/>
  <c r="DU46" i="1"/>
  <c r="DV46" i="1"/>
  <c r="DW46" i="1"/>
  <c r="DX46" i="1"/>
  <c r="G47" i="1"/>
  <c r="EB47" i="1" s="1"/>
  <c r="AE47" i="1"/>
  <c r="BD47" i="1" s="1"/>
  <c r="AF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BT47" i="1"/>
  <c r="BU47" i="1"/>
  <c r="BV47" i="1"/>
  <c r="BW47" i="1"/>
  <c r="BX47" i="1"/>
  <c r="BY47" i="1"/>
  <c r="BZ47" i="1"/>
  <c r="CB47" i="1"/>
  <c r="CD47" i="1"/>
  <c r="CC47" i="1" s="1"/>
  <c r="DB47" i="1" s="1"/>
  <c r="DD47" i="1"/>
  <c r="DE47" i="1"/>
  <c r="DF47" i="1"/>
  <c r="DG47" i="1"/>
  <c r="DH47" i="1"/>
  <c r="DI47" i="1"/>
  <c r="DJ47" i="1"/>
  <c r="DK47" i="1"/>
  <c r="DL47" i="1"/>
  <c r="DM47" i="1"/>
  <c r="DN47" i="1"/>
  <c r="DO47" i="1"/>
  <c r="DP47" i="1"/>
  <c r="DQ47" i="1"/>
  <c r="DR47" i="1"/>
  <c r="DS47" i="1"/>
  <c r="DT47" i="1"/>
  <c r="DU47" i="1"/>
  <c r="DV47" i="1"/>
  <c r="DW47" i="1"/>
  <c r="DX47" i="1"/>
  <c r="DZ47" i="1"/>
  <c r="G48" i="1"/>
  <c r="S48" i="1"/>
  <c r="AB48" i="1"/>
  <c r="AR48" i="1"/>
  <c r="AW48" i="1"/>
  <c r="AW80" i="1" s="1"/>
  <c r="AY48" i="1"/>
  <c r="BX48" i="1" s="1"/>
  <c r="BA48" i="1"/>
  <c r="BZ48" i="1" s="1"/>
  <c r="BF48" i="1"/>
  <c r="BG48" i="1"/>
  <c r="BH48" i="1"/>
  <c r="BI48" i="1"/>
  <c r="BJ48" i="1"/>
  <c r="BK48" i="1"/>
  <c r="BL48" i="1"/>
  <c r="BM48" i="1"/>
  <c r="BN48" i="1"/>
  <c r="BO48" i="1"/>
  <c r="BP48" i="1"/>
  <c r="BR48" i="1"/>
  <c r="BS48" i="1"/>
  <c r="BT48" i="1"/>
  <c r="BU48" i="1"/>
  <c r="BW48" i="1"/>
  <c r="BY48" i="1"/>
  <c r="CB48" i="1"/>
  <c r="CP48" i="1"/>
  <c r="CU48" i="1"/>
  <c r="CU150" i="1" s="1"/>
  <c r="CW48" i="1"/>
  <c r="DV48" i="1" s="1"/>
  <c r="CY48" i="1"/>
  <c r="DD48" i="1"/>
  <c r="DE48" i="1"/>
  <c r="DF48" i="1"/>
  <c r="DG48" i="1"/>
  <c r="DH48" i="1"/>
  <c r="DI48" i="1"/>
  <c r="DJ48" i="1"/>
  <c r="DK48" i="1"/>
  <c r="DL48" i="1"/>
  <c r="DM48" i="1"/>
  <c r="DN48" i="1"/>
  <c r="DP48" i="1"/>
  <c r="DQ48" i="1"/>
  <c r="DR48" i="1"/>
  <c r="DS48" i="1"/>
  <c r="DU48" i="1"/>
  <c r="DW48" i="1"/>
  <c r="DZ48" i="1"/>
  <c r="G49" i="1"/>
  <c r="AE49" i="1"/>
  <c r="BD49" i="1" s="1"/>
  <c r="AF49" i="1"/>
  <c r="BF49" i="1"/>
  <c r="BG49" i="1"/>
  <c r="BH49" i="1"/>
  <c r="BI49" i="1"/>
  <c r="BJ49" i="1"/>
  <c r="BK49" i="1"/>
  <c r="BL49" i="1"/>
  <c r="BM49" i="1"/>
  <c r="BE49" i="1" s="1"/>
  <c r="EC49" i="1" s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B49" i="1"/>
  <c r="CD49" i="1"/>
  <c r="DD49" i="1"/>
  <c r="DE49" i="1"/>
  <c r="DF49" i="1"/>
  <c r="DG49" i="1"/>
  <c r="DH49" i="1"/>
  <c r="DI49" i="1"/>
  <c r="DJ49" i="1"/>
  <c r="DJ150" i="1" s="1"/>
  <c r="DK49" i="1"/>
  <c r="DL49" i="1"/>
  <c r="DM49" i="1"/>
  <c r="DN49" i="1"/>
  <c r="DO49" i="1"/>
  <c r="DP49" i="1"/>
  <c r="DQ49" i="1"/>
  <c r="DR49" i="1"/>
  <c r="DS49" i="1"/>
  <c r="DT49" i="1"/>
  <c r="DU49" i="1"/>
  <c r="DV49" i="1"/>
  <c r="DW49" i="1"/>
  <c r="DX49" i="1"/>
  <c r="DZ49" i="1"/>
  <c r="EB49" i="1"/>
  <c r="O50" i="1"/>
  <c r="AD50" i="1"/>
  <c r="AN50" i="1"/>
  <c r="BC50" i="1"/>
  <c r="BF50" i="1"/>
  <c r="BG50" i="1"/>
  <c r="BH50" i="1"/>
  <c r="BI50" i="1"/>
  <c r="BJ50" i="1"/>
  <c r="BK50" i="1"/>
  <c r="BL50" i="1"/>
  <c r="BN50" i="1"/>
  <c r="BO50" i="1"/>
  <c r="BP50" i="1"/>
  <c r="BQ50" i="1"/>
  <c r="BR50" i="1"/>
  <c r="BS50" i="1"/>
  <c r="BT50" i="1"/>
  <c r="BU50" i="1"/>
  <c r="BV50" i="1"/>
  <c r="BW50" i="1"/>
  <c r="BX50" i="1"/>
  <c r="BY50" i="1"/>
  <c r="BY80" i="1" s="1"/>
  <c r="BZ50" i="1"/>
  <c r="DA50" i="1"/>
  <c r="CD50" i="1" s="1"/>
  <c r="DD50" i="1"/>
  <c r="DE50" i="1"/>
  <c r="DF50" i="1"/>
  <c r="DG50" i="1"/>
  <c r="DH50" i="1"/>
  <c r="DI50" i="1"/>
  <c r="DJ50" i="1"/>
  <c r="DL50" i="1"/>
  <c r="DM50" i="1"/>
  <c r="DN50" i="1"/>
  <c r="DO50" i="1"/>
  <c r="DP50" i="1"/>
  <c r="DQ50" i="1"/>
  <c r="DR50" i="1"/>
  <c r="DS50" i="1"/>
  <c r="DT50" i="1"/>
  <c r="DU50" i="1"/>
  <c r="DV50" i="1"/>
  <c r="DW50" i="1"/>
  <c r="DX50" i="1"/>
  <c r="G51" i="1"/>
  <c r="Z51" i="1"/>
  <c r="AY51" i="1"/>
  <c r="AF51" i="1" s="1"/>
  <c r="BF51" i="1"/>
  <c r="BG51" i="1"/>
  <c r="BH51" i="1"/>
  <c r="BI51" i="1"/>
  <c r="BJ51" i="1"/>
  <c r="BK51" i="1"/>
  <c r="BL51" i="1"/>
  <c r="BM51" i="1"/>
  <c r="BN51" i="1"/>
  <c r="BO51" i="1"/>
  <c r="BP51" i="1"/>
  <c r="BQ51" i="1"/>
  <c r="BR51" i="1"/>
  <c r="BS51" i="1"/>
  <c r="BT51" i="1"/>
  <c r="BU51" i="1"/>
  <c r="BV51" i="1"/>
  <c r="BW51" i="1"/>
  <c r="BY51" i="1"/>
  <c r="BZ51" i="1"/>
  <c r="CB51" i="1"/>
  <c r="CW51" i="1"/>
  <c r="CD51" i="1" s="1"/>
  <c r="DD51" i="1"/>
  <c r="DE51" i="1"/>
  <c r="DF51" i="1"/>
  <c r="DG51" i="1"/>
  <c r="DH51" i="1"/>
  <c r="DI51" i="1"/>
  <c r="DJ51" i="1"/>
  <c r="DK51" i="1"/>
  <c r="DL51" i="1"/>
  <c r="DM51" i="1"/>
  <c r="DN51" i="1"/>
  <c r="DO51" i="1"/>
  <c r="DP51" i="1"/>
  <c r="DQ51" i="1"/>
  <c r="DR51" i="1"/>
  <c r="DS51" i="1"/>
  <c r="DT51" i="1"/>
  <c r="DU51" i="1"/>
  <c r="DW51" i="1"/>
  <c r="DX51" i="1"/>
  <c r="DZ51" i="1"/>
  <c r="G52" i="1"/>
  <c r="EB52" i="1" s="1"/>
  <c r="Z52" i="1"/>
  <c r="AY52" i="1"/>
  <c r="AF52" i="1" s="1"/>
  <c r="BF52" i="1"/>
  <c r="BG52" i="1"/>
  <c r="BH52" i="1"/>
  <c r="BI52" i="1"/>
  <c r="BJ52" i="1"/>
  <c r="BK52" i="1"/>
  <c r="BL52" i="1"/>
  <c r="BM52" i="1"/>
  <c r="BN52" i="1"/>
  <c r="BO52" i="1"/>
  <c r="BP52" i="1"/>
  <c r="BQ52" i="1"/>
  <c r="BR52" i="1"/>
  <c r="BS52" i="1"/>
  <c r="BT52" i="1"/>
  <c r="BU52" i="1"/>
  <c r="BV52" i="1"/>
  <c r="BW52" i="1"/>
  <c r="BY52" i="1"/>
  <c r="BZ52" i="1"/>
  <c r="CB52" i="1"/>
  <c r="CW52" i="1"/>
  <c r="DD52" i="1"/>
  <c r="DE52" i="1"/>
  <c r="DF52" i="1"/>
  <c r="DG52" i="1"/>
  <c r="DH52" i="1"/>
  <c r="DI52" i="1"/>
  <c r="DJ52" i="1"/>
  <c r="DK52" i="1"/>
  <c r="DL52" i="1"/>
  <c r="DM52" i="1"/>
  <c r="DN52" i="1"/>
  <c r="DO52" i="1"/>
  <c r="DP52" i="1"/>
  <c r="DQ52" i="1"/>
  <c r="DR52" i="1"/>
  <c r="DS52" i="1"/>
  <c r="DT52" i="1"/>
  <c r="DU52" i="1"/>
  <c r="DW52" i="1"/>
  <c r="DX52" i="1"/>
  <c r="DZ52" i="1"/>
  <c r="G53" i="1"/>
  <c r="AF53" i="1"/>
  <c r="AE53" i="1" s="1"/>
  <c r="BD53" i="1" s="1"/>
  <c r="AN53" i="1"/>
  <c r="BM53" i="1" s="1"/>
  <c r="BF53" i="1"/>
  <c r="BG53" i="1"/>
  <c r="BH53" i="1"/>
  <c r="BI53" i="1"/>
  <c r="BJ53" i="1"/>
  <c r="BK53" i="1"/>
  <c r="BL53" i="1"/>
  <c r="BN53" i="1"/>
  <c r="BO53" i="1"/>
  <c r="BP53" i="1"/>
  <c r="BQ53" i="1"/>
  <c r="BR53" i="1"/>
  <c r="BS53" i="1"/>
  <c r="BT53" i="1"/>
  <c r="BU53" i="1"/>
  <c r="BV53" i="1"/>
  <c r="BW53" i="1"/>
  <c r="BX53" i="1"/>
  <c r="BY53" i="1"/>
  <c r="BZ53" i="1"/>
  <c r="CB53" i="1"/>
  <c r="CC53" i="1"/>
  <c r="CD53" i="1"/>
  <c r="DB53" i="1"/>
  <c r="DD53" i="1"/>
  <c r="DE53" i="1"/>
  <c r="DF53" i="1"/>
  <c r="DG53" i="1"/>
  <c r="DH53" i="1"/>
  <c r="DI53" i="1"/>
  <c r="DJ53" i="1"/>
  <c r="DK53" i="1"/>
  <c r="DL53" i="1"/>
  <c r="DM53" i="1"/>
  <c r="DN53" i="1"/>
  <c r="DO53" i="1"/>
  <c r="DP53" i="1"/>
  <c r="DQ53" i="1"/>
  <c r="DR53" i="1"/>
  <c r="DS53" i="1"/>
  <c r="DT53" i="1"/>
  <c r="DU53" i="1"/>
  <c r="DV53" i="1"/>
  <c r="DW53" i="1"/>
  <c r="DX53" i="1"/>
  <c r="DZ53" i="1"/>
  <c r="EB53" i="1"/>
  <c r="Z54" i="1"/>
  <c r="AN54" i="1"/>
  <c r="BM54" i="1" s="1"/>
  <c r="AY54" i="1"/>
  <c r="BF54" i="1"/>
  <c r="BG54" i="1"/>
  <c r="BH54" i="1"/>
  <c r="BI54" i="1"/>
  <c r="BJ54" i="1"/>
  <c r="BK54" i="1"/>
  <c r="BL54" i="1"/>
  <c r="BN54" i="1"/>
  <c r="BO54" i="1"/>
  <c r="BP54" i="1"/>
  <c r="BQ54" i="1"/>
  <c r="BR54" i="1"/>
  <c r="BS54" i="1"/>
  <c r="BT54" i="1"/>
  <c r="BU54" i="1"/>
  <c r="BV54" i="1"/>
  <c r="BW54" i="1"/>
  <c r="BY54" i="1"/>
  <c r="BZ54" i="1"/>
  <c r="CB54" i="1"/>
  <c r="CL54" i="1"/>
  <c r="CD54" i="1" s="1"/>
  <c r="CW54" i="1"/>
  <c r="DV54" i="1" s="1"/>
  <c r="DD54" i="1"/>
  <c r="DE54" i="1"/>
  <c r="DF54" i="1"/>
  <c r="DG54" i="1"/>
  <c r="DH54" i="1"/>
  <c r="DI54" i="1"/>
  <c r="DJ54" i="1"/>
  <c r="DL54" i="1"/>
  <c r="DM54" i="1"/>
  <c r="DN54" i="1"/>
  <c r="DO54" i="1"/>
  <c r="DP54" i="1"/>
  <c r="DQ54" i="1"/>
  <c r="DR54" i="1"/>
  <c r="DS54" i="1"/>
  <c r="DT54" i="1"/>
  <c r="DU54" i="1"/>
  <c r="DW54" i="1"/>
  <c r="DX54" i="1"/>
  <c r="DZ54" i="1"/>
  <c r="Z55" i="1"/>
  <c r="AN55" i="1"/>
  <c r="BM55" i="1" s="1"/>
  <c r="AY55" i="1"/>
  <c r="BF55" i="1"/>
  <c r="BG55" i="1"/>
  <c r="BH55" i="1"/>
  <c r="BI55" i="1"/>
  <c r="BJ55" i="1"/>
  <c r="BK55" i="1"/>
  <c r="BL55" i="1"/>
  <c r="BN55" i="1"/>
  <c r="BO55" i="1"/>
  <c r="BP55" i="1"/>
  <c r="BQ55" i="1"/>
  <c r="BR55" i="1"/>
  <c r="BS55" i="1"/>
  <c r="BT55" i="1"/>
  <c r="BU55" i="1"/>
  <c r="BV55" i="1"/>
  <c r="BW55" i="1"/>
  <c r="BY55" i="1"/>
  <c r="BZ55" i="1"/>
  <c r="CB55" i="1"/>
  <c r="CL55" i="1"/>
  <c r="CW55" i="1"/>
  <c r="DD55" i="1"/>
  <c r="DE55" i="1"/>
  <c r="DF55" i="1"/>
  <c r="DG55" i="1"/>
  <c r="DH55" i="1"/>
  <c r="DI55" i="1"/>
  <c r="DJ55" i="1"/>
  <c r="DL55" i="1"/>
  <c r="DM55" i="1"/>
  <c r="DN55" i="1"/>
  <c r="DO55" i="1"/>
  <c r="DP55" i="1"/>
  <c r="DQ55" i="1"/>
  <c r="DR55" i="1"/>
  <c r="DR150" i="1" s="1"/>
  <c r="DS55" i="1"/>
  <c r="DT55" i="1"/>
  <c r="DU55" i="1"/>
  <c r="DW55" i="1"/>
  <c r="DX55" i="1"/>
  <c r="DZ55" i="1"/>
  <c r="G56" i="1"/>
  <c r="AN56" i="1"/>
  <c r="AF56" i="1" s="1"/>
  <c r="BF56" i="1"/>
  <c r="BG56" i="1"/>
  <c r="BH56" i="1"/>
  <c r="BI56" i="1"/>
  <c r="BJ56" i="1"/>
  <c r="BK56" i="1"/>
  <c r="BL56" i="1"/>
  <c r="BM56" i="1"/>
  <c r="BN56" i="1"/>
  <c r="BO56" i="1"/>
  <c r="BP56" i="1"/>
  <c r="BQ56" i="1"/>
  <c r="BR56" i="1"/>
  <c r="BS56" i="1"/>
  <c r="BT56" i="1"/>
  <c r="BU56" i="1"/>
  <c r="BV56" i="1"/>
  <c r="BW56" i="1"/>
  <c r="BX56" i="1"/>
  <c r="BY56" i="1"/>
  <c r="BZ56" i="1"/>
  <c r="CB56" i="1"/>
  <c r="CL56" i="1"/>
  <c r="CD56" i="1" s="1"/>
  <c r="CC56" i="1" s="1"/>
  <c r="DB56" i="1" s="1"/>
  <c r="DD56" i="1"/>
  <c r="DE56" i="1"/>
  <c r="DF56" i="1"/>
  <c r="DG56" i="1"/>
  <c r="DH56" i="1"/>
  <c r="DI56" i="1"/>
  <c r="DJ56" i="1"/>
  <c r="DK56" i="1"/>
  <c r="DL56" i="1"/>
  <c r="DM56" i="1"/>
  <c r="DN56" i="1"/>
  <c r="DO56" i="1"/>
  <c r="DP56" i="1"/>
  <c r="DQ56" i="1"/>
  <c r="DR56" i="1"/>
  <c r="DS56" i="1"/>
  <c r="DT56" i="1"/>
  <c r="DU56" i="1"/>
  <c r="DV56" i="1"/>
  <c r="DW56" i="1"/>
  <c r="DX56" i="1"/>
  <c r="DZ56" i="1"/>
  <c r="EB56" i="1"/>
  <c r="Z57" i="1"/>
  <c r="AY57" i="1"/>
  <c r="AF57" i="1" s="1"/>
  <c r="BF57" i="1"/>
  <c r="BG57" i="1"/>
  <c r="BH57" i="1"/>
  <c r="BI57" i="1"/>
  <c r="BJ57" i="1"/>
  <c r="BK57" i="1"/>
  <c r="BL57" i="1"/>
  <c r="BM57" i="1"/>
  <c r="BN57" i="1"/>
  <c r="BO57" i="1"/>
  <c r="BP57" i="1"/>
  <c r="BQ57" i="1"/>
  <c r="BR57" i="1"/>
  <c r="BS57" i="1"/>
  <c r="BT57" i="1"/>
  <c r="BU57" i="1"/>
  <c r="BV57" i="1"/>
  <c r="BW57" i="1"/>
  <c r="BY57" i="1"/>
  <c r="BZ57" i="1"/>
  <c r="CB57" i="1"/>
  <c r="CW57" i="1"/>
  <c r="CD57" i="1" s="1"/>
  <c r="DD57" i="1"/>
  <c r="DE57" i="1"/>
  <c r="DF57" i="1"/>
  <c r="DG57" i="1"/>
  <c r="DH57" i="1"/>
  <c r="DI57" i="1"/>
  <c r="DJ57" i="1"/>
  <c r="DK57" i="1"/>
  <c r="DL57" i="1"/>
  <c r="DM57" i="1"/>
  <c r="DN57" i="1"/>
  <c r="DO57" i="1"/>
  <c r="DP57" i="1"/>
  <c r="DQ57" i="1"/>
  <c r="DR57" i="1"/>
  <c r="DS57" i="1"/>
  <c r="DT57" i="1"/>
  <c r="DU57" i="1"/>
  <c r="DW57" i="1"/>
  <c r="DX57" i="1"/>
  <c r="DZ57" i="1"/>
  <c r="G58" i="1"/>
  <c r="EB58" i="1" s="1"/>
  <c r="AF58" i="1"/>
  <c r="BF58" i="1"/>
  <c r="BG58" i="1"/>
  <c r="BH58" i="1"/>
  <c r="BI58" i="1"/>
  <c r="BJ58" i="1"/>
  <c r="BK58" i="1"/>
  <c r="BL58" i="1"/>
  <c r="BM58" i="1"/>
  <c r="BN58" i="1"/>
  <c r="BO58" i="1"/>
  <c r="BP58" i="1"/>
  <c r="BQ58" i="1"/>
  <c r="BR58" i="1"/>
  <c r="BS58" i="1"/>
  <c r="BT58" i="1"/>
  <c r="BU58" i="1"/>
  <c r="BV58" i="1"/>
  <c r="BW58" i="1"/>
  <c r="BX58" i="1"/>
  <c r="BY58" i="1"/>
  <c r="BZ58" i="1"/>
  <c r="CB58" i="1"/>
  <c r="CC58" i="1"/>
  <c r="DB58" i="1" s="1"/>
  <c r="CD58" i="1"/>
  <c r="DD58" i="1"/>
  <c r="DE58" i="1"/>
  <c r="DF58" i="1"/>
  <c r="DG58" i="1"/>
  <c r="DH58" i="1"/>
  <c r="DI58" i="1"/>
  <c r="DJ58" i="1"/>
  <c r="DK58" i="1"/>
  <c r="DL58" i="1"/>
  <c r="DM58" i="1"/>
  <c r="DN58" i="1"/>
  <c r="DO58" i="1"/>
  <c r="DP58" i="1"/>
  <c r="DQ58" i="1"/>
  <c r="DR58" i="1"/>
  <c r="DS58" i="1"/>
  <c r="DT58" i="1"/>
  <c r="DU58" i="1"/>
  <c r="DV58" i="1"/>
  <c r="DW58" i="1"/>
  <c r="DX58" i="1"/>
  <c r="DZ58" i="1"/>
  <c r="G59" i="1"/>
  <c r="O59" i="1"/>
  <c r="AF59" i="1"/>
  <c r="AN59" i="1"/>
  <c r="BF59" i="1"/>
  <c r="BG59" i="1"/>
  <c r="BH59" i="1"/>
  <c r="BI59" i="1"/>
  <c r="BJ59" i="1"/>
  <c r="BK59" i="1"/>
  <c r="BL59" i="1"/>
  <c r="BM59" i="1"/>
  <c r="BE59" i="1" s="1"/>
  <c r="BN59" i="1"/>
  <c r="BO59" i="1"/>
  <c r="BP59" i="1"/>
  <c r="BQ59" i="1"/>
  <c r="BR59" i="1"/>
  <c r="BS59" i="1"/>
  <c r="BT59" i="1"/>
  <c r="BU59" i="1"/>
  <c r="BV59" i="1"/>
  <c r="BW59" i="1"/>
  <c r="BX59" i="1"/>
  <c r="BY59" i="1"/>
  <c r="BZ59" i="1"/>
  <c r="CB59" i="1"/>
  <c r="CD59" i="1"/>
  <c r="CL59" i="1"/>
  <c r="DK59" i="1" s="1"/>
  <c r="DD59" i="1"/>
  <c r="DE59" i="1"/>
  <c r="DF59" i="1"/>
  <c r="DG59" i="1"/>
  <c r="DH59" i="1"/>
  <c r="DI59" i="1"/>
  <c r="DJ59" i="1"/>
  <c r="DL59" i="1"/>
  <c r="DM59" i="1"/>
  <c r="DN59" i="1"/>
  <c r="DO59" i="1"/>
  <c r="DP59" i="1"/>
  <c r="DQ59" i="1"/>
  <c r="DR59" i="1"/>
  <c r="DS59" i="1"/>
  <c r="DT59" i="1"/>
  <c r="DU59" i="1"/>
  <c r="DV59" i="1"/>
  <c r="DW59" i="1"/>
  <c r="DX59" i="1"/>
  <c r="DZ59" i="1"/>
  <c r="EB59" i="1"/>
  <c r="U60" i="1"/>
  <c r="AD60" i="1"/>
  <c r="AN60" i="1"/>
  <c r="BM60" i="1" s="1"/>
  <c r="AQ60" i="1"/>
  <c r="BP60" i="1" s="1"/>
  <c r="AT60" i="1"/>
  <c r="BS60" i="1" s="1"/>
  <c r="BC60" i="1"/>
  <c r="BF60" i="1"/>
  <c r="BG60" i="1"/>
  <c r="BH60" i="1"/>
  <c r="BI60" i="1"/>
  <c r="BJ60" i="1"/>
  <c r="BK60" i="1"/>
  <c r="BL60" i="1"/>
  <c r="BN60" i="1"/>
  <c r="BO60" i="1"/>
  <c r="BQ60" i="1"/>
  <c r="BR60" i="1"/>
  <c r="BT60" i="1"/>
  <c r="BU60" i="1"/>
  <c r="BV60" i="1"/>
  <c r="BW60" i="1"/>
  <c r="BX60" i="1"/>
  <c r="BY60" i="1"/>
  <c r="BZ60" i="1"/>
  <c r="CO60" i="1"/>
  <c r="CO80" i="1" s="1"/>
  <c r="CR60" i="1"/>
  <c r="DA60" i="1"/>
  <c r="DD60" i="1"/>
  <c r="DE60" i="1"/>
  <c r="DF60" i="1"/>
  <c r="DG60" i="1"/>
  <c r="DH60" i="1"/>
  <c r="DI60" i="1"/>
  <c r="DJ60" i="1"/>
  <c r="DL60" i="1"/>
  <c r="DM60" i="1"/>
  <c r="DO60" i="1"/>
  <c r="DP60" i="1"/>
  <c r="DR60" i="1"/>
  <c r="DS60" i="1"/>
  <c r="DT60" i="1"/>
  <c r="DU60" i="1"/>
  <c r="DV60" i="1"/>
  <c r="DW60" i="1"/>
  <c r="DX60" i="1"/>
  <c r="AD61" i="1"/>
  <c r="AN61" i="1"/>
  <c r="BM61" i="1" s="1"/>
  <c r="AY61" i="1"/>
  <c r="BF61" i="1"/>
  <c r="BG61" i="1"/>
  <c r="BH61" i="1"/>
  <c r="BI61" i="1"/>
  <c r="BJ61" i="1"/>
  <c r="BK61" i="1"/>
  <c r="BL61" i="1"/>
  <c r="BN61" i="1"/>
  <c r="BO61" i="1"/>
  <c r="BP61" i="1"/>
  <c r="BQ61" i="1"/>
  <c r="BR61" i="1"/>
  <c r="BS61" i="1"/>
  <c r="BT61" i="1"/>
  <c r="BU61" i="1"/>
  <c r="BV61" i="1"/>
  <c r="BW61" i="1"/>
  <c r="BY61" i="1"/>
  <c r="BZ61" i="1"/>
  <c r="CL61" i="1"/>
  <c r="DK61" i="1" s="1"/>
  <c r="CW61" i="1"/>
  <c r="DV61" i="1" s="1"/>
  <c r="DD61" i="1"/>
  <c r="DE61" i="1"/>
  <c r="DF61" i="1"/>
  <c r="DG61" i="1"/>
  <c r="DH61" i="1"/>
  <c r="DI61" i="1"/>
  <c r="DJ61" i="1"/>
  <c r="DL61" i="1"/>
  <c r="DM61" i="1"/>
  <c r="DN61" i="1"/>
  <c r="DO61" i="1"/>
  <c r="DP61" i="1"/>
  <c r="DQ61" i="1"/>
  <c r="DR61" i="1"/>
  <c r="DS61" i="1"/>
  <c r="DT61" i="1"/>
  <c r="DU61" i="1"/>
  <c r="DW61" i="1"/>
  <c r="DX61" i="1"/>
  <c r="DZ61" i="1"/>
  <c r="G62" i="1"/>
  <c r="EB62" i="1" s="1"/>
  <c r="AN62" i="1"/>
  <c r="AF62" i="1" s="1"/>
  <c r="AE62" i="1" s="1"/>
  <c r="BD62" i="1" s="1"/>
  <c r="BF62" i="1"/>
  <c r="BG62" i="1"/>
  <c r="BH62" i="1"/>
  <c r="BI62" i="1"/>
  <c r="BJ62" i="1"/>
  <c r="BK62" i="1"/>
  <c r="BL62" i="1"/>
  <c r="BM62" i="1"/>
  <c r="BE62" i="1" s="1"/>
  <c r="EC62" i="1" s="1"/>
  <c r="BN62" i="1"/>
  <c r="BO62" i="1"/>
  <c r="BP62" i="1"/>
  <c r="BQ62" i="1"/>
  <c r="BR62" i="1"/>
  <c r="BS62" i="1"/>
  <c r="BT62" i="1"/>
  <c r="BU62" i="1"/>
  <c r="BV62" i="1"/>
  <c r="BW62" i="1"/>
  <c r="BX62" i="1"/>
  <c r="BY62" i="1"/>
  <c r="BZ62" i="1"/>
  <c r="CB62" i="1"/>
  <c r="CL62" i="1"/>
  <c r="DK62" i="1" s="1"/>
  <c r="DD62" i="1"/>
  <c r="DE62" i="1"/>
  <c r="DF62" i="1"/>
  <c r="DG62" i="1"/>
  <c r="DH62" i="1"/>
  <c r="DI62" i="1"/>
  <c r="DJ62" i="1"/>
  <c r="DL62" i="1"/>
  <c r="DM62" i="1"/>
  <c r="DN62" i="1"/>
  <c r="DO62" i="1"/>
  <c r="DP62" i="1"/>
  <c r="DQ62" i="1"/>
  <c r="DR62" i="1"/>
  <c r="DS62" i="1"/>
  <c r="DT62" i="1"/>
  <c r="DU62" i="1"/>
  <c r="DV62" i="1"/>
  <c r="DW62" i="1"/>
  <c r="DX62" i="1"/>
  <c r="DZ62" i="1"/>
  <c r="P63" i="1"/>
  <c r="Q63" i="1"/>
  <c r="BO63" i="1" s="1"/>
  <c r="R63" i="1"/>
  <c r="S63" i="1"/>
  <c r="AD63" i="1"/>
  <c r="AR63" i="1"/>
  <c r="BQ63" i="1" s="1"/>
  <c r="AY63" i="1"/>
  <c r="BX63" i="1" s="1"/>
  <c r="BF63" i="1"/>
  <c r="BG63" i="1"/>
  <c r="BH63" i="1"/>
  <c r="BI63" i="1"/>
  <c r="BJ63" i="1"/>
  <c r="BK63" i="1"/>
  <c r="BL63" i="1"/>
  <c r="BM63" i="1"/>
  <c r="BP63" i="1"/>
  <c r="BR63" i="1"/>
  <c r="BS63" i="1"/>
  <c r="BT63" i="1"/>
  <c r="BU63" i="1"/>
  <c r="BV63" i="1"/>
  <c r="BW63" i="1"/>
  <c r="BY63" i="1"/>
  <c r="BZ63" i="1"/>
  <c r="CB63" i="1"/>
  <c r="CW63" i="1"/>
  <c r="CP63" i="1" s="1"/>
  <c r="DD63" i="1"/>
  <c r="DE63" i="1"/>
  <c r="DF63" i="1"/>
  <c r="DG63" i="1"/>
  <c r="DH63" i="1"/>
  <c r="DI63" i="1"/>
  <c r="DJ63" i="1"/>
  <c r="DK63" i="1"/>
  <c r="DM63" i="1"/>
  <c r="DN63" i="1"/>
  <c r="DP63" i="1"/>
  <c r="DQ63" i="1"/>
  <c r="DR63" i="1"/>
  <c r="DS63" i="1"/>
  <c r="DT63" i="1"/>
  <c r="DU63" i="1"/>
  <c r="DW63" i="1"/>
  <c r="DX63" i="1"/>
  <c r="DZ63" i="1"/>
  <c r="G64" i="1"/>
  <c r="EB64" i="1" s="1"/>
  <c r="AN64" i="1"/>
  <c r="BF64" i="1"/>
  <c r="BG64" i="1"/>
  <c r="BH64" i="1"/>
  <c r="BI64" i="1"/>
  <c r="BJ64" i="1"/>
  <c r="BK64" i="1"/>
  <c r="BL64" i="1"/>
  <c r="BN64" i="1"/>
  <c r="BO64" i="1"/>
  <c r="BP64" i="1"/>
  <c r="BQ64" i="1"/>
  <c r="BR64" i="1"/>
  <c r="BS64" i="1"/>
  <c r="BT64" i="1"/>
  <c r="BU64" i="1"/>
  <c r="BV64" i="1"/>
  <c r="BW64" i="1"/>
  <c r="BX64" i="1"/>
  <c r="BY64" i="1"/>
  <c r="BZ64" i="1"/>
  <c r="CB64" i="1"/>
  <c r="CL64" i="1"/>
  <c r="CD64" i="1" s="1"/>
  <c r="DD64" i="1"/>
  <c r="DE64" i="1"/>
  <c r="DE150" i="1" s="1"/>
  <c r="DF64" i="1"/>
  <c r="DG64" i="1"/>
  <c r="DH64" i="1"/>
  <c r="DI64" i="1"/>
  <c r="DJ64" i="1"/>
  <c r="DL64" i="1"/>
  <c r="DM64" i="1"/>
  <c r="DN64" i="1"/>
  <c r="DO64" i="1"/>
  <c r="DP64" i="1"/>
  <c r="DQ64" i="1"/>
  <c r="DR64" i="1"/>
  <c r="DS64" i="1"/>
  <c r="DT64" i="1"/>
  <c r="DU64" i="1"/>
  <c r="DV64" i="1"/>
  <c r="DW64" i="1"/>
  <c r="DX64" i="1"/>
  <c r="DZ64" i="1"/>
  <c r="G65" i="1"/>
  <c r="AF65" i="1"/>
  <c r="BF65" i="1"/>
  <c r="BG65" i="1"/>
  <c r="BH65" i="1"/>
  <c r="BI65" i="1"/>
  <c r="BJ65" i="1"/>
  <c r="BK65" i="1"/>
  <c r="BL65" i="1"/>
  <c r="BM65" i="1"/>
  <c r="BN65" i="1"/>
  <c r="BO65" i="1"/>
  <c r="BP65" i="1"/>
  <c r="BQ65" i="1"/>
  <c r="BR65" i="1"/>
  <c r="BS65" i="1"/>
  <c r="BT65" i="1"/>
  <c r="BU65" i="1"/>
  <c r="BV65" i="1"/>
  <c r="BW65" i="1"/>
  <c r="BX65" i="1"/>
  <c r="BY65" i="1"/>
  <c r="BZ65" i="1"/>
  <c r="CB65" i="1"/>
  <c r="CD65" i="1"/>
  <c r="DD65" i="1"/>
  <c r="DE65" i="1"/>
  <c r="DF65" i="1"/>
  <c r="DG65" i="1"/>
  <c r="DH65" i="1"/>
  <c r="DI65" i="1"/>
  <c r="DJ65" i="1"/>
  <c r="DK65" i="1"/>
  <c r="DL65" i="1"/>
  <c r="DM65" i="1"/>
  <c r="DN65" i="1"/>
  <c r="DO65" i="1"/>
  <c r="DP65" i="1"/>
  <c r="DQ65" i="1"/>
  <c r="DR65" i="1"/>
  <c r="DS65" i="1"/>
  <c r="DT65" i="1"/>
  <c r="DU65" i="1"/>
  <c r="DV65" i="1"/>
  <c r="DW65" i="1"/>
  <c r="DX65" i="1"/>
  <c r="DZ65" i="1"/>
  <c r="G66" i="1"/>
  <c r="P66" i="1"/>
  <c r="BN66" i="1" s="1"/>
  <c r="Q66" i="1"/>
  <c r="R66" i="1"/>
  <c r="AN66" i="1"/>
  <c r="AP66" i="1"/>
  <c r="BF66" i="1"/>
  <c r="BG66" i="1"/>
  <c r="BH66" i="1"/>
  <c r="BI66" i="1"/>
  <c r="BJ66" i="1"/>
  <c r="BK66" i="1"/>
  <c r="BL66" i="1"/>
  <c r="BO66" i="1"/>
  <c r="BP66" i="1"/>
  <c r="BQ66" i="1"/>
  <c r="BR66" i="1"/>
  <c r="BS66" i="1"/>
  <c r="BT66" i="1"/>
  <c r="BU66" i="1"/>
  <c r="BV66" i="1"/>
  <c r="BW66" i="1"/>
  <c r="BX66" i="1"/>
  <c r="BY66" i="1"/>
  <c r="BZ66" i="1"/>
  <c r="CB66" i="1"/>
  <c r="CN66" i="1"/>
  <c r="DD66" i="1"/>
  <c r="DE66" i="1"/>
  <c r="DF66" i="1"/>
  <c r="DG66" i="1"/>
  <c r="DH66" i="1"/>
  <c r="DI66" i="1"/>
  <c r="DJ66" i="1"/>
  <c r="DM66" i="1"/>
  <c r="DN66" i="1"/>
  <c r="DO66" i="1"/>
  <c r="DP66" i="1"/>
  <c r="DQ66" i="1"/>
  <c r="DR66" i="1"/>
  <c r="DS66" i="1"/>
  <c r="DT66" i="1"/>
  <c r="DU66" i="1"/>
  <c r="DV66" i="1"/>
  <c r="DW66" i="1"/>
  <c r="DX66" i="1"/>
  <c r="DZ66" i="1"/>
  <c r="EB66" i="1"/>
  <c r="G67" i="1"/>
  <c r="AF67" i="1"/>
  <c r="BF67" i="1"/>
  <c r="BG67" i="1"/>
  <c r="BE67" i="1" s="1"/>
  <c r="BH67" i="1"/>
  <c r="BI67" i="1"/>
  <c r="BJ67" i="1"/>
  <c r="BK67" i="1"/>
  <c r="BL67" i="1"/>
  <c r="BM67" i="1"/>
  <c r="BN67" i="1"/>
  <c r="BO67" i="1"/>
  <c r="BP67" i="1"/>
  <c r="BQ67" i="1"/>
  <c r="BR67" i="1"/>
  <c r="BS67" i="1"/>
  <c r="BT67" i="1"/>
  <c r="BU67" i="1"/>
  <c r="BV67" i="1"/>
  <c r="BW67" i="1"/>
  <c r="BX67" i="1"/>
  <c r="BY67" i="1"/>
  <c r="BZ67" i="1"/>
  <c r="CB67" i="1"/>
  <c r="CD67" i="1"/>
  <c r="DD67" i="1"/>
  <c r="DE67" i="1"/>
  <c r="DF67" i="1"/>
  <c r="DG67" i="1"/>
  <c r="DH67" i="1"/>
  <c r="DI67" i="1"/>
  <c r="DJ67" i="1"/>
  <c r="DK67" i="1"/>
  <c r="DL67" i="1"/>
  <c r="DM67" i="1"/>
  <c r="DN67" i="1"/>
  <c r="DO67" i="1"/>
  <c r="DP67" i="1"/>
  <c r="DQ67" i="1"/>
  <c r="DR67" i="1"/>
  <c r="DS67" i="1"/>
  <c r="DT67" i="1"/>
  <c r="DU67" i="1"/>
  <c r="DV67" i="1"/>
  <c r="DW67" i="1"/>
  <c r="DX67" i="1"/>
  <c r="DZ67" i="1"/>
  <c r="EB67" i="1"/>
  <c r="G68" i="1"/>
  <c r="AF68" i="1"/>
  <c r="AE68" i="1" s="1"/>
  <c r="BD68" i="1" s="1"/>
  <c r="BF68" i="1"/>
  <c r="BG68" i="1"/>
  <c r="BH68" i="1"/>
  <c r="BI68" i="1"/>
  <c r="BJ68" i="1"/>
  <c r="BK68" i="1"/>
  <c r="BL68" i="1"/>
  <c r="BM68" i="1"/>
  <c r="BN68" i="1"/>
  <c r="BO68" i="1"/>
  <c r="BP68" i="1"/>
  <c r="BQ68" i="1"/>
  <c r="BR68" i="1"/>
  <c r="BS68" i="1"/>
  <c r="BT68" i="1"/>
  <c r="BU68" i="1"/>
  <c r="BV68" i="1"/>
  <c r="BW68" i="1"/>
  <c r="BX68" i="1"/>
  <c r="BY68" i="1"/>
  <c r="BZ68" i="1"/>
  <c r="CB68" i="1"/>
  <c r="CD68" i="1"/>
  <c r="CC68" i="1" s="1"/>
  <c r="DB68" i="1"/>
  <c r="DD68" i="1"/>
  <c r="DE68" i="1"/>
  <c r="DF68" i="1"/>
  <c r="DG68" i="1"/>
  <c r="DH68" i="1"/>
  <c r="DI68" i="1"/>
  <c r="DJ68" i="1"/>
  <c r="DK68" i="1"/>
  <c r="DL68" i="1"/>
  <c r="DM68" i="1"/>
  <c r="DN68" i="1"/>
  <c r="DO68" i="1"/>
  <c r="DP68" i="1"/>
  <c r="DQ68" i="1"/>
  <c r="DR68" i="1"/>
  <c r="DS68" i="1"/>
  <c r="DT68" i="1"/>
  <c r="DU68" i="1"/>
  <c r="DV68" i="1"/>
  <c r="DW68" i="1"/>
  <c r="DX68" i="1"/>
  <c r="DZ68" i="1"/>
  <c r="EB68" i="1"/>
  <c r="G69" i="1"/>
  <c r="AF69" i="1"/>
  <c r="AE69" i="1" s="1"/>
  <c r="BD69" i="1" s="1"/>
  <c r="AY69" i="1"/>
  <c r="BX69" i="1" s="1"/>
  <c r="BF69" i="1"/>
  <c r="BG69" i="1"/>
  <c r="BH69" i="1"/>
  <c r="BI69" i="1"/>
  <c r="BJ69" i="1"/>
  <c r="BK69" i="1"/>
  <c r="BL69" i="1"/>
  <c r="BM69" i="1"/>
  <c r="BN69" i="1"/>
  <c r="BO69" i="1"/>
  <c r="BP69" i="1"/>
  <c r="BQ69" i="1"/>
  <c r="BR69" i="1"/>
  <c r="BS69" i="1"/>
  <c r="BT69" i="1"/>
  <c r="BU69" i="1"/>
  <c r="BV69" i="1"/>
  <c r="BW69" i="1"/>
  <c r="BY69" i="1"/>
  <c r="BZ69" i="1"/>
  <c r="CB69" i="1"/>
  <c r="CW69" i="1"/>
  <c r="DV69" i="1" s="1"/>
  <c r="DD69" i="1"/>
  <c r="DE69" i="1"/>
  <c r="DF69" i="1"/>
  <c r="DG69" i="1"/>
  <c r="DH69" i="1"/>
  <c r="DI69" i="1"/>
  <c r="DJ69" i="1"/>
  <c r="DK69" i="1"/>
  <c r="DL69" i="1"/>
  <c r="DM69" i="1"/>
  <c r="DN69" i="1"/>
  <c r="DO69" i="1"/>
  <c r="DP69" i="1"/>
  <c r="DQ69" i="1"/>
  <c r="DR69" i="1"/>
  <c r="DS69" i="1"/>
  <c r="DT69" i="1"/>
  <c r="DU69" i="1"/>
  <c r="DW69" i="1"/>
  <c r="DX69" i="1"/>
  <c r="DZ69" i="1"/>
  <c r="EB69" i="1"/>
  <c r="G70" i="1"/>
  <c r="AF70" i="1"/>
  <c r="BF70" i="1"/>
  <c r="BG70" i="1"/>
  <c r="BH70" i="1"/>
  <c r="BI70" i="1"/>
  <c r="BJ70" i="1"/>
  <c r="BK70" i="1"/>
  <c r="BL70" i="1"/>
  <c r="BM70" i="1"/>
  <c r="BN70" i="1"/>
  <c r="BO70" i="1"/>
  <c r="BP70" i="1"/>
  <c r="BQ70" i="1"/>
  <c r="BR70" i="1"/>
  <c r="BS70" i="1"/>
  <c r="BT70" i="1"/>
  <c r="BU70" i="1"/>
  <c r="BV70" i="1"/>
  <c r="BW70" i="1"/>
  <c r="BX70" i="1"/>
  <c r="BY70" i="1"/>
  <c r="BZ70" i="1"/>
  <c r="CB70" i="1"/>
  <c r="CD70" i="1"/>
  <c r="CC70" i="1" s="1"/>
  <c r="DB70" i="1"/>
  <c r="DD70" i="1"/>
  <c r="DE70" i="1"/>
  <c r="DF70" i="1"/>
  <c r="DG70" i="1"/>
  <c r="DH70" i="1"/>
  <c r="DI70" i="1"/>
  <c r="DJ70" i="1"/>
  <c r="DK70" i="1"/>
  <c r="DC70" i="1" s="1"/>
  <c r="ED70" i="1" s="1"/>
  <c r="DL70" i="1"/>
  <c r="DM70" i="1"/>
  <c r="DN70" i="1"/>
  <c r="DO70" i="1"/>
  <c r="DP70" i="1"/>
  <c r="DQ70" i="1"/>
  <c r="DR70" i="1"/>
  <c r="DS70" i="1"/>
  <c r="DT70" i="1"/>
  <c r="DU70" i="1"/>
  <c r="DV70" i="1"/>
  <c r="DW70" i="1"/>
  <c r="DX70" i="1"/>
  <c r="DZ70" i="1"/>
  <c r="EB70" i="1"/>
  <c r="O71" i="1"/>
  <c r="S71" i="1"/>
  <c r="BQ71" i="1" s="1"/>
  <c r="AN71" i="1"/>
  <c r="BF71" i="1"/>
  <c r="BG71" i="1"/>
  <c r="BH71" i="1"/>
  <c r="BI71" i="1"/>
  <c r="BJ71" i="1"/>
  <c r="BK71" i="1"/>
  <c r="BL71" i="1"/>
  <c r="BN71" i="1"/>
  <c r="BO71" i="1"/>
  <c r="BP71" i="1"/>
  <c r="BR71" i="1"/>
  <c r="BS71" i="1"/>
  <c r="BT71" i="1"/>
  <c r="BU71" i="1"/>
  <c r="BV71" i="1"/>
  <c r="BW71" i="1"/>
  <c r="BX71" i="1"/>
  <c r="BY71" i="1"/>
  <c r="BZ71" i="1"/>
  <c r="CB71" i="1"/>
  <c r="CL71" i="1"/>
  <c r="CD71" i="1" s="1"/>
  <c r="DD71" i="1"/>
  <c r="DE71" i="1"/>
  <c r="DF71" i="1"/>
  <c r="DG71" i="1"/>
  <c r="DH71" i="1"/>
  <c r="DI71" i="1"/>
  <c r="DJ71" i="1"/>
  <c r="DL71" i="1"/>
  <c r="DM71" i="1"/>
  <c r="DN71" i="1"/>
  <c r="DO71" i="1"/>
  <c r="DP71" i="1"/>
  <c r="DQ71" i="1"/>
  <c r="DR71" i="1"/>
  <c r="DS71" i="1"/>
  <c r="DT71" i="1"/>
  <c r="DU71" i="1"/>
  <c r="DV71" i="1"/>
  <c r="DW71" i="1"/>
  <c r="DX71" i="1"/>
  <c r="DZ71" i="1"/>
  <c r="O72" i="1"/>
  <c r="W72" i="1"/>
  <c r="AV72" i="1"/>
  <c r="AF72" i="1" s="1"/>
  <c r="AY72" i="1"/>
  <c r="BX72" i="1" s="1"/>
  <c r="BF72" i="1"/>
  <c r="BG72" i="1"/>
  <c r="BH72" i="1"/>
  <c r="BI72" i="1"/>
  <c r="BJ72" i="1"/>
  <c r="BK72" i="1"/>
  <c r="BL72" i="1"/>
  <c r="BN72" i="1"/>
  <c r="BO72" i="1"/>
  <c r="BP72" i="1"/>
  <c r="BQ72" i="1"/>
  <c r="BR72" i="1"/>
  <c r="BS72" i="1"/>
  <c r="BT72" i="1"/>
  <c r="BV72" i="1"/>
  <c r="BW72" i="1"/>
  <c r="BY72" i="1"/>
  <c r="BZ72" i="1"/>
  <c r="CB72" i="1"/>
  <c r="CW72" i="1"/>
  <c r="DD72" i="1"/>
  <c r="DE72" i="1"/>
  <c r="DF72" i="1"/>
  <c r="DG72" i="1"/>
  <c r="DH72" i="1"/>
  <c r="DI72" i="1"/>
  <c r="DJ72" i="1"/>
  <c r="DK72" i="1"/>
  <c r="DL72" i="1"/>
  <c r="DM72" i="1"/>
  <c r="DN72" i="1"/>
  <c r="DO72" i="1"/>
  <c r="DP72" i="1"/>
  <c r="DQ72" i="1"/>
  <c r="DR72" i="1"/>
  <c r="DT72" i="1"/>
  <c r="DU72" i="1"/>
  <c r="DW72" i="1"/>
  <c r="DX72" i="1"/>
  <c r="DZ72" i="1"/>
  <c r="G73" i="1"/>
  <c r="Z73" i="1"/>
  <c r="AY73" i="1"/>
  <c r="BF73" i="1"/>
  <c r="BG73" i="1"/>
  <c r="BH73" i="1"/>
  <c r="BI73" i="1"/>
  <c r="BJ73" i="1"/>
  <c r="BK73" i="1"/>
  <c r="BL73" i="1"/>
  <c r="BM73" i="1"/>
  <c r="BN73" i="1"/>
  <c r="BO73" i="1"/>
  <c r="BP73" i="1"/>
  <c r="BQ73" i="1"/>
  <c r="BR73" i="1"/>
  <c r="BS73" i="1"/>
  <c r="BT73" i="1"/>
  <c r="BU73" i="1"/>
  <c r="BV73" i="1"/>
  <c r="BW73" i="1"/>
  <c r="BY73" i="1"/>
  <c r="BZ73" i="1"/>
  <c r="CB73" i="1"/>
  <c r="CW73" i="1"/>
  <c r="DV73" i="1" s="1"/>
  <c r="DD73" i="1"/>
  <c r="DE73" i="1"/>
  <c r="DF73" i="1"/>
  <c r="DG73" i="1"/>
  <c r="DH73" i="1"/>
  <c r="DI73" i="1"/>
  <c r="DJ73" i="1"/>
  <c r="DK73" i="1"/>
  <c r="DL73" i="1"/>
  <c r="DM73" i="1"/>
  <c r="DN73" i="1"/>
  <c r="DO73" i="1"/>
  <c r="DP73" i="1"/>
  <c r="DQ73" i="1"/>
  <c r="DR73" i="1"/>
  <c r="DS73" i="1"/>
  <c r="DT73" i="1"/>
  <c r="DU73" i="1"/>
  <c r="DW73" i="1"/>
  <c r="DX73" i="1"/>
  <c r="DZ73" i="1"/>
  <c r="EB73" i="1"/>
  <c r="G74" i="1"/>
  <c r="AF74" i="1"/>
  <c r="BF74" i="1"/>
  <c r="BG74" i="1"/>
  <c r="BH74" i="1"/>
  <c r="BI74" i="1"/>
  <c r="BJ74" i="1"/>
  <c r="BK74" i="1"/>
  <c r="BL74" i="1"/>
  <c r="BM74" i="1"/>
  <c r="BN74" i="1"/>
  <c r="BO74" i="1"/>
  <c r="BP74" i="1"/>
  <c r="BQ74" i="1"/>
  <c r="BR74" i="1"/>
  <c r="BS74" i="1"/>
  <c r="BT74" i="1"/>
  <c r="BU74" i="1"/>
  <c r="BV74" i="1"/>
  <c r="BW74" i="1"/>
  <c r="BX74" i="1"/>
  <c r="BY74" i="1"/>
  <c r="BZ74" i="1"/>
  <c r="CB74" i="1"/>
  <c r="CC74" i="1"/>
  <c r="CD74" i="1"/>
  <c r="DB74" i="1"/>
  <c r="DD74" i="1"/>
  <c r="DE74" i="1"/>
  <c r="DF74" i="1"/>
  <c r="DG74" i="1"/>
  <c r="DH74" i="1"/>
  <c r="DI74" i="1"/>
  <c r="DJ74" i="1"/>
  <c r="DK74" i="1"/>
  <c r="DL74" i="1"/>
  <c r="DM74" i="1"/>
  <c r="DN74" i="1"/>
  <c r="DO74" i="1"/>
  <c r="DP74" i="1"/>
  <c r="DQ74" i="1"/>
  <c r="DR74" i="1"/>
  <c r="DS74" i="1"/>
  <c r="DT74" i="1"/>
  <c r="DU74" i="1"/>
  <c r="DV74" i="1"/>
  <c r="DW74" i="1"/>
  <c r="DX74" i="1"/>
  <c r="DZ74" i="1"/>
  <c r="EB74" i="1"/>
  <c r="O75" i="1"/>
  <c r="S75" i="1"/>
  <c r="S80" i="1" s="1"/>
  <c r="Z75" i="1"/>
  <c r="AD75" i="1"/>
  <c r="AN75" i="1"/>
  <c r="AR75" i="1"/>
  <c r="AY75" i="1"/>
  <c r="BF75" i="1"/>
  <c r="BG75" i="1"/>
  <c r="BH75" i="1"/>
  <c r="BI75" i="1"/>
  <c r="BJ75" i="1"/>
  <c r="BK75" i="1"/>
  <c r="BL75" i="1"/>
  <c r="BN75" i="1"/>
  <c r="BO75" i="1"/>
  <c r="BP75" i="1"/>
  <c r="BR75" i="1"/>
  <c r="BS75" i="1"/>
  <c r="BT75" i="1"/>
  <c r="BU75" i="1"/>
  <c r="BV75" i="1"/>
  <c r="BW75" i="1"/>
  <c r="BY75" i="1"/>
  <c r="BZ75" i="1"/>
  <c r="CB75" i="1"/>
  <c r="CL75" i="1"/>
  <c r="CP75" i="1"/>
  <c r="DD75" i="1"/>
  <c r="DE75" i="1"/>
  <c r="DF75" i="1"/>
  <c r="DG75" i="1"/>
  <c r="DH75" i="1"/>
  <c r="DI75" i="1"/>
  <c r="DJ75" i="1"/>
  <c r="DL75" i="1"/>
  <c r="DM75" i="1"/>
  <c r="DN75" i="1"/>
  <c r="DP75" i="1"/>
  <c r="DQ75" i="1"/>
  <c r="DR75" i="1"/>
  <c r="DS75" i="1"/>
  <c r="DT75" i="1"/>
  <c r="DU75" i="1"/>
  <c r="DW75" i="1"/>
  <c r="DX75" i="1"/>
  <c r="DZ75" i="1"/>
  <c r="G76" i="1"/>
  <c r="EB76" i="1" s="1"/>
  <c r="AE76" i="1"/>
  <c r="BD76" i="1" s="1"/>
  <c r="AF76" i="1"/>
  <c r="BF76" i="1"/>
  <c r="BG76" i="1"/>
  <c r="BE76" i="1" s="1"/>
  <c r="EC76" i="1" s="1"/>
  <c r="BH76" i="1"/>
  <c r="BI76" i="1"/>
  <c r="BJ76" i="1"/>
  <c r="BK76" i="1"/>
  <c r="BL76" i="1"/>
  <c r="BM76" i="1"/>
  <c r="BN76" i="1"/>
  <c r="BO76" i="1"/>
  <c r="BP76" i="1"/>
  <c r="BQ76" i="1"/>
  <c r="BR76" i="1"/>
  <c r="BS76" i="1"/>
  <c r="BT76" i="1"/>
  <c r="BU76" i="1"/>
  <c r="BV76" i="1"/>
  <c r="BW76" i="1"/>
  <c r="BX76" i="1"/>
  <c r="BY76" i="1"/>
  <c r="BZ76" i="1"/>
  <c r="CB76" i="1"/>
  <c r="CC76" i="1"/>
  <c r="DB76" i="1" s="1"/>
  <c r="CD76" i="1"/>
  <c r="DD76" i="1"/>
  <c r="DE76" i="1"/>
  <c r="DF76" i="1"/>
  <c r="DG76" i="1"/>
  <c r="DH76" i="1"/>
  <c r="DI76" i="1"/>
  <c r="DJ76" i="1"/>
  <c r="DK76" i="1"/>
  <c r="DL76" i="1"/>
  <c r="DM76" i="1"/>
  <c r="DN76" i="1"/>
  <c r="DO76" i="1"/>
  <c r="DP76" i="1"/>
  <c r="DQ76" i="1"/>
  <c r="DR76" i="1"/>
  <c r="DS76" i="1"/>
  <c r="DT76" i="1"/>
  <c r="DU76" i="1"/>
  <c r="DV76" i="1"/>
  <c r="DW76" i="1"/>
  <c r="DX76" i="1"/>
  <c r="DZ76" i="1"/>
  <c r="O77" i="1"/>
  <c r="Z77" i="1"/>
  <c r="AD77" i="1"/>
  <c r="AN77" i="1"/>
  <c r="AY77" i="1"/>
  <c r="BC77" i="1"/>
  <c r="CB77" i="1" s="1"/>
  <c r="BF77" i="1"/>
  <c r="BG77" i="1"/>
  <c r="BH77" i="1"/>
  <c r="BI77" i="1"/>
  <c r="BJ77" i="1"/>
  <c r="BK77" i="1"/>
  <c r="BL77" i="1"/>
  <c r="BN77" i="1"/>
  <c r="BO77" i="1"/>
  <c r="BP77" i="1"/>
  <c r="BQ77" i="1"/>
  <c r="BR77" i="1"/>
  <c r="BS77" i="1"/>
  <c r="BT77" i="1"/>
  <c r="BU77" i="1"/>
  <c r="BV77" i="1"/>
  <c r="BW77" i="1"/>
  <c r="BY77" i="1"/>
  <c r="BZ77" i="1"/>
  <c r="CW77" i="1"/>
  <c r="DV77" i="1" s="1"/>
  <c r="DA77" i="1"/>
  <c r="DD77" i="1"/>
  <c r="DE77" i="1"/>
  <c r="DF77" i="1"/>
  <c r="DG77" i="1"/>
  <c r="DH77" i="1"/>
  <c r="DI77" i="1"/>
  <c r="DJ77" i="1"/>
  <c r="DL77" i="1"/>
  <c r="DM77" i="1"/>
  <c r="DN77" i="1"/>
  <c r="DO77" i="1"/>
  <c r="DP77" i="1"/>
  <c r="DQ77" i="1"/>
  <c r="DR77" i="1"/>
  <c r="DS77" i="1"/>
  <c r="DT77" i="1"/>
  <c r="DU77" i="1"/>
  <c r="DW77" i="1"/>
  <c r="DX77" i="1"/>
  <c r="O78" i="1"/>
  <c r="Z78" i="1"/>
  <c r="BX78" i="1" s="1"/>
  <c r="AD78" i="1"/>
  <c r="BC78" i="1"/>
  <c r="AF78" i="1" s="1"/>
  <c r="BF78" i="1"/>
  <c r="BG78" i="1"/>
  <c r="BE78" i="1" s="1"/>
  <c r="BH78" i="1"/>
  <c r="BI78" i="1"/>
  <c r="BJ78" i="1"/>
  <c r="BK78" i="1"/>
  <c r="BL78" i="1"/>
  <c r="BM78" i="1"/>
  <c r="BN78" i="1"/>
  <c r="BO78" i="1"/>
  <c r="BP78" i="1"/>
  <c r="BQ78" i="1"/>
  <c r="BR78" i="1"/>
  <c r="BS78" i="1"/>
  <c r="BT78" i="1"/>
  <c r="BU78" i="1"/>
  <c r="BV78" i="1"/>
  <c r="BW78" i="1"/>
  <c r="BY78" i="1"/>
  <c r="BZ78" i="1"/>
  <c r="CB78" i="1"/>
  <c r="DA78" i="1"/>
  <c r="CD78" i="1" s="1"/>
  <c r="DD78" i="1"/>
  <c r="DE78" i="1"/>
  <c r="DF78" i="1"/>
  <c r="DG78" i="1"/>
  <c r="DH78" i="1"/>
  <c r="DI78" i="1"/>
  <c r="DJ78" i="1"/>
  <c r="DK78" i="1"/>
  <c r="DL78" i="1"/>
  <c r="DM78" i="1"/>
  <c r="DN78" i="1"/>
  <c r="DO78" i="1"/>
  <c r="DP78" i="1"/>
  <c r="DQ78" i="1"/>
  <c r="DR78" i="1"/>
  <c r="DS78" i="1"/>
  <c r="DT78" i="1"/>
  <c r="DU78" i="1"/>
  <c r="DV78" i="1"/>
  <c r="DW78" i="1"/>
  <c r="DX78" i="1"/>
  <c r="Z79" i="1"/>
  <c r="AD79" i="1"/>
  <c r="AN79" i="1"/>
  <c r="AY79" i="1"/>
  <c r="BX79" i="1" s="1"/>
  <c r="BF79" i="1"/>
  <c r="BG79" i="1"/>
  <c r="BH79" i="1"/>
  <c r="BI79" i="1"/>
  <c r="BJ79" i="1"/>
  <c r="BK79" i="1"/>
  <c r="BL79" i="1"/>
  <c r="BN79" i="1"/>
  <c r="BO79" i="1"/>
  <c r="BP79" i="1"/>
  <c r="BQ79" i="1"/>
  <c r="BR79" i="1"/>
  <c r="BS79" i="1"/>
  <c r="BT79" i="1"/>
  <c r="BU79" i="1"/>
  <c r="BV79" i="1"/>
  <c r="BW79" i="1"/>
  <c r="BY79" i="1"/>
  <c r="BZ79" i="1"/>
  <c r="CL79" i="1"/>
  <c r="DD79" i="1"/>
  <c r="DE79" i="1"/>
  <c r="DF79" i="1"/>
  <c r="DG79" i="1"/>
  <c r="DH79" i="1"/>
  <c r="DI79" i="1"/>
  <c r="DJ79" i="1"/>
  <c r="DL79" i="1"/>
  <c r="DM79" i="1"/>
  <c r="DN79" i="1"/>
  <c r="DO79" i="1"/>
  <c r="DP79" i="1"/>
  <c r="DQ79" i="1"/>
  <c r="DR79" i="1"/>
  <c r="DS79" i="1"/>
  <c r="DT79" i="1"/>
  <c r="DU79" i="1"/>
  <c r="DW79" i="1"/>
  <c r="DX79" i="1"/>
  <c r="H80" i="1"/>
  <c r="I80" i="1"/>
  <c r="J80" i="1"/>
  <c r="K80" i="1"/>
  <c r="L80" i="1"/>
  <c r="M80" i="1"/>
  <c r="N80" i="1"/>
  <c r="Q80" i="1"/>
  <c r="R80" i="1"/>
  <c r="T80" i="1"/>
  <c r="U80" i="1"/>
  <c r="V80" i="1"/>
  <c r="X80" i="1"/>
  <c r="Y80" i="1"/>
  <c r="Z80" i="1"/>
  <c r="AA80" i="1"/>
  <c r="AB80" i="1"/>
  <c r="AC80" i="1"/>
  <c r="AG80" i="1"/>
  <c r="AH80" i="1"/>
  <c r="AI80" i="1"/>
  <c r="AK80" i="1"/>
  <c r="AL80" i="1"/>
  <c r="AM80" i="1"/>
  <c r="AO80" i="1"/>
  <c r="AX80" i="1"/>
  <c r="AZ80" i="1"/>
  <c r="BA80" i="1"/>
  <c r="BB80" i="1"/>
  <c r="CA80" i="1"/>
  <c r="CE80" i="1"/>
  <c r="CF80" i="1"/>
  <c r="CG80" i="1"/>
  <c r="CI80" i="1"/>
  <c r="CJ80" i="1"/>
  <c r="CK80" i="1"/>
  <c r="CM80" i="1"/>
  <c r="CS80" i="1"/>
  <c r="CV80" i="1"/>
  <c r="CX80" i="1"/>
  <c r="CY80" i="1"/>
  <c r="CZ80" i="1"/>
  <c r="DY80" i="1"/>
  <c r="AD81" i="1"/>
  <c r="AH81" i="1"/>
  <c r="BC81" i="1"/>
  <c r="BF81" i="1"/>
  <c r="BH81" i="1"/>
  <c r="BI81" i="1"/>
  <c r="BJ81" i="1"/>
  <c r="BK81" i="1"/>
  <c r="BL81" i="1"/>
  <c r="BM81" i="1"/>
  <c r="BN81" i="1"/>
  <c r="BO81" i="1"/>
  <c r="BP81" i="1"/>
  <c r="BQ81" i="1"/>
  <c r="BR81" i="1"/>
  <c r="BS81" i="1"/>
  <c r="BT81" i="1"/>
  <c r="BU81" i="1"/>
  <c r="BV81" i="1"/>
  <c r="BW81" i="1"/>
  <c r="BX81" i="1"/>
  <c r="BY81" i="1"/>
  <c r="BZ81" i="1"/>
  <c r="CF81" i="1"/>
  <c r="DA81" i="1" s="1"/>
  <c r="DZ81" i="1" s="1"/>
  <c r="DD81" i="1"/>
  <c r="DG81" i="1"/>
  <c r="DH81" i="1"/>
  <c r="DI81" i="1"/>
  <c r="DJ81" i="1"/>
  <c r="DK81" i="1"/>
  <c r="DL81" i="1"/>
  <c r="DM81" i="1"/>
  <c r="DN81" i="1"/>
  <c r="DO81" i="1"/>
  <c r="DP81" i="1"/>
  <c r="DQ81" i="1"/>
  <c r="DR81" i="1"/>
  <c r="DS81" i="1"/>
  <c r="DT81" i="1"/>
  <c r="DU81" i="1"/>
  <c r="DV81" i="1"/>
  <c r="DW81" i="1"/>
  <c r="DX81" i="1"/>
  <c r="G82" i="1"/>
  <c r="EB82" i="1" s="1"/>
  <c r="AH82" i="1"/>
  <c r="AF82" i="1" s="1"/>
  <c r="AE82" i="1" s="1"/>
  <c r="BD82" i="1" s="1"/>
  <c r="BF82" i="1"/>
  <c r="BG82" i="1"/>
  <c r="BH82" i="1"/>
  <c r="BI82" i="1"/>
  <c r="BJ82" i="1"/>
  <c r="BK82" i="1"/>
  <c r="BL82" i="1"/>
  <c r="BM82" i="1"/>
  <c r="BN82" i="1"/>
  <c r="BO82" i="1"/>
  <c r="BP82" i="1"/>
  <c r="BQ82" i="1"/>
  <c r="BR82" i="1"/>
  <c r="BS82" i="1"/>
  <c r="BT82" i="1"/>
  <c r="BU82" i="1"/>
  <c r="BV82" i="1"/>
  <c r="BW82" i="1"/>
  <c r="BX82" i="1"/>
  <c r="BY82" i="1"/>
  <c r="BZ82" i="1"/>
  <c r="CB82" i="1"/>
  <c r="CF82" i="1"/>
  <c r="CD82" i="1" s="1"/>
  <c r="DD82" i="1"/>
  <c r="DE82" i="1"/>
  <c r="DG82" i="1"/>
  <c r="DH82" i="1"/>
  <c r="DI82" i="1"/>
  <c r="DJ82" i="1"/>
  <c r="DK82" i="1"/>
  <c r="DK104" i="1" s="1"/>
  <c r="DL82" i="1"/>
  <c r="DM82" i="1"/>
  <c r="DN82" i="1"/>
  <c r="DO82" i="1"/>
  <c r="DP82" i="1"/>
  <c r="DQ82" i="1"/>
  <c r="DR82" i="1"/>
  <c r="DS82" i="1"/>
  <c r="DT82" i="1"/>
  <c r="DU82" i="1"/>
  <c r="DV82" i="1"/>
  <c r="DW82" i="1"/>
  <c r="DX82" i="1"/>
  <c r="DZ82" i="1"/>
  <c r="AD83" i="1"/>
  <c r="G83" i="1" s="1"/>
  <c r="AY83" i="1"/>
  <c r="BC83" i="1"/>
  <c r="BF83" i="1"/>
  <c r="BG83" i="1"/>
  <c r="BH83" i="1"/>
  <c r="BI83" i="1"/>
  <c r="BJ83" i="1"/>
  <c r="BK83" i="1"/>
  <c r="BL83" i="1"/>
  <c r="BM83" i="1"/>
  <c r="BN83" i="1"/>
  <c r="BO83" i="1"/>
  <c r="BP83" i="1"/>
  <c r="BQ83" i="1"/>
  <c r="BQ152" i="1" s="1"/>
  <c r="BR83" i="1"/>
  <c r="BS83" i="1"/>
  <c r="BT83" i="1"/>
  <c r="BU83" i="1"/>
  <c r="BV83" i="1"/>
  <c r="BW83" i="1"/>
  <c r="BY83" i="1"/>
  <c r="BZ83" i="1"/>
  <c r="CW83" i="1"/>
  <c r="DV83" i="1" s="1"/>
  <c r="DD83" i="1"/>
  <c r="DE83" i="1"/>
  <c r="DG83" i="1"/>
  <c r="DH83" i="1"/>
  <c r="DI83" i="1"/>
  <c r="DJ83" i="1"/>
  <c r="DK83" i="1"/>
  <c r="DL83" i="1"/>
  <c r="DM83" i="1"/>
  <c r="DN83" i="1"/>
  <c r="DO83" i="1"/>
  <c r="DP83" i="1"/>
  <c r="DQ83" i="1"/>
  <c r="DR83" i="1"/>
  <c r="DS83" i="1"/>
  <c r="DT83" i="1"/>
  <c r="DU83" i="1"/>
  <c r="DW83" i="1"/>
  <c r="DX83" i="1"/>
  <c r="G84" i="1"/>
  <c r="EB84" i="1" s="1"/>
  <c r="AF84" i="1"/>
  <c r="BD84" i="1"/>
  <c r="BF84" i="1"/>
  <c r="BG84" i="1"/>
  <c r="BH84" i="1"/>
  <c r="BI84" i="1"/>
  <c r="BJ84" i="1"/>
  <c r="BK84" i="1"/>
  <c r="BL84" i="1"/>
  <c r="BM84" i="1"/>
  <c r="BN84" i="1"/>
  <c r="BO84" i="1"/>
  <c r="BP84" i="1"/>
  <c r="BQ84" i="1"/>
  <c r="BR84" i="1"/>
  <c r="BS84" i="1"/>
  <c r="BT84" i="1"/>
  <c r="BU84" i="1"/>
  <c r="BV84" i="1"/>
  <c r="BW84" i="1"/>
  <c r="BX84" i="1"/>
  <c r="BY84" i="1"/>
  <c r="BZ84" i="1"/>
  <c r="CB84" i="1"/>
  <c r="CC84" i="1"/>
  <c r="DB84" i="1" s="1"/>
  <c r="CD84" i="1"/>
  <c r="DD84" i="1"/>
  <c r="DE84" i="1"/>
  <c r="DG84" i="1"/>
  <c r="DH84" i="1"/>
  <c r="DI84" i="1"/>
  <c r="DJ84" i="1"/>
  <c r="DK84" i="1"/>
  <c r="DL84" i="1"/>
  <c r="DM84" i="1"/>
  <c r="DN84" i="1"/>
  <c r="DO84" i="1"/>
  <c r="DP84" i="1"/>
  <c r="DQ84" i="1"/>
  <c r="DR84" i="1"/>
  <c r="DS84" i="1"/>
  <c r="DT84" i="1"/>
  <c r="DU84" i="1"/>
  <c r="DV84" i="1"/>
  <c r="DW84" i="1"/>
  <c r="DX84" i="1"/>
  <c r="DZ84" i="1"/>
  <c r="G85" i="1"/>
  <c r="AF85" i="1"/>
  <c r="BD85" i="1"/>
  <c r="BF85" i="1"/>
  <c r="BG85" i="1"/>
  <c r="BH85" i="1"/>
  <c r="BI85" i="1"/>
  <c r="BJ85" i="1"/>
  <c r="BK85" i="1"/>
  <c r="BK152" i="1" s="1"/>
  <c r="BL85" i="1"/>
  <c r="BM85" i="1"/>
  <c r="BN85" i="1"/>
  <c r="BO85" i="1"/>
  <c r="BP85" i="1"/>
  <c r="BQ85" i="1"/>
  <c r="BR85" i="1"/>
  <c r="BS85" i="1"/>
  <c r="BT85" i="1"/>
  <c r="BU85" i="1"/>
  <c r="BV85" i="1"/>
  <c r="BW85" i="1"/>
  <c r="BX85" i="1"/>
  <c r="BY85" i="1"/>
  <c r="BZ85" i="1"/>
  <c r="CB85" i="1"/>
  <c r="CD85" i="1"/>
  <c r="DD85" i="1"/>
  <c r="DE85" i="1"/>
  <c r="DG85" i="1"/>
  <c r="DH85" i="1"/>
  <c r="DI85" i="1"/>
  <c r="DJ85" i="1"/>
  <c r="DK85" i="1"/>
  <c r="DL85" i="1"/>
  <c r="DM85" i="1"/>
  <c r="DN85" i="1"/>
  <c r="DO85" i="1"/>
  <c r="DP85" i="1"/>
  <c r="DQ85" i="1"/>
  <c r="DR85" i="1"/>
  <c r="DS85" i="1"/>
  <c r="DT85" i="1"/>
  <c r="DU85" i="1"/>
  <c r="DV85" i="1"/>
  <c r="DW85" i="1"/>
  <c r="DX85" i="1"/>
  <c r="DZ85" i="1"/>
  <c r="G86" i="1"/>
  <c r="AY86" i="1"/>
  <c r="AW86" i="1" s="1"/>
  <c r="BV86" i="1" s="1"/>
  <c r="BF86" i="1"/>
  <c r="BG86" i="1"/>
  <c r="BH86" i="1"/>
  <c r="BI86" i="1"/>
  <c r="BJ86" i="1"/>
  <c r="BK86" i="1"/>
  <c r="BL86" i="1"/>
  <c r="BM86" i="1"/>
  <c r="BN86" i="1"/>
  <c r="BO86" i="1"/>
  <c r="BP86" i="1"/>
  <c r="BQ86" i="1"/>
  <c r="BR86" i="1"/>
  <c r="BS86" i="1"/>
  <c r="BT86" i="1"/>
  <c r="BU86" i="1"/>
  <c r="BW86" i="1"/>
  <c r="BY86" i="1"/>
  <c r="BZ86" i="1"/>
  <c r="CB86" i="1"/>
  <c r="CW86" i="1"/>
  <c r="CU86" i="1" s="1"/>
  <c r="DT86" i="1" s="1"/>
  <c r="DD86" i="1"/>
  <c r="DE86" i="1"/>
  <c r="DG86" i="1"/>
  <c r="DH86" i="1"/>
  <c r="DI86" i="1"/>
  <c r="DJ86" i="1"/>
  <c r="DK86" i="1"/>
  <c r="DL86" i="1"/>
  <c r="DM86" i="1"/>
  <c r="DN86" i="1"/>
  <c r="DO86" i="1"/>
  <c r="DP86" i="1"/>
  <c r="DQ86" i="1"/>
  <c r="DR86" i="1"/>
  <c r="DS86" i="1"/>
  <c r="DU86" i="1"/>
  <c r="DV86" i="1"/>
  <c r="DW86" i="1"/>
  <c r="DX86" i="1"/>
  <c r="DZ86" i="1"/>
  <c r="EB86" i="1"/>
  <c r="G87" i="1"/>
  <c r="EB87" i="1" s="1"/>
  <c r="AW87" i="1"/>
  <c r="BF87" i="1"/>
  <c r="BG87" i="1"/>
  <c r="BH87" i="1"/>
  <c r="BI87" i="1"/>
  <c r="BJ87" i="1"/>
  <c r="BK87" i="1"/>
  <c r="BL87" i="1"/>
  <c r="BM87" i="1"/>
  <c r="BN87" i="1"/>
  <c r="BO87" i="1"/>
  <c r="BP87" i="1"/>
  <c r="BQ87" i="1"/>
  <c r="BR87" i="1"/>
  <c r="BS87" i="1"/>
  <c r="BT87" i="1"/>
  <c r="BU87" i="1"/>
  <c r="BW87" i="1"/>
  <c r="BX87" i="1"/>
  <c r="BY87" i="1"/>
  <c r="BZ87" i="1"/>
  <c r="CB87" i="1"/>
  <c r="CU87" i="1"/>
  <c r="DD87" i="1"/>
  <c r="DE87" i="1"/>
  <c r="DG87" i="1"/>
  <c r="DH87" i="1"/>
  <c r="DI87" i="1"/>
  <c r="DJ87" i="1"/>
  <c r="DK87" i="1"/>
  <c r="DL87" i="1"/>
  <c r="DM87" i="1"/>
  <c r="DN87" i="1"/>
  <c r="DO87" i="1"/>
  <c r="DP87" i="1"/>
  <c r="DP152" i="1" s="1"/>
  <c r="DQ87" i="1"/>
  <c r="DR87" i="1"/>
  <c r="DS87" i="1"/>
  <c r="DU87" i="1"/>
  <c r="DV87" i="1"/>
  <c r="DW87" i="1"/>
  <c r="DX87" i="1"/>
  <c r="DZ87" i="1"/>
  <c r="W88" i="1"/>
  <c r="AD88" i="1"/>
  <c r="AV88" i="1"/>
  <c r="AV104" i="1" s="1"/>
  <c r="BC88" i="1"/>
  <c r="BF88" i="1"/>
  <c r="BG88" i="1"/>
  <c r="BH88" i="1"/>
  <c r="BI88" i="1"/>
  <c r="BJ88" i="1"/>
  <c r="BK88" i="1"/>
  <c r="BL88" i="1"/>
  <c r="BM88" i="1"/>
  <c r="BN88" i="1"/>
  <c r="BO88" i="1"/>
  <c r="BP88" i="1"/>
  <c r="BQ88" i="1"/>
  <c r="BR88" i="1"/>
  <c r="BS88" i="1"/>
  <c r="BT88" i="1"/>
  <c r="BV88" i="1"/>
  <c r="BW88" i="1"/>
  <c r="BX88" i="1"/>
  <c r="BY88" i="1"/>
  <c r="BZ88" i="1"/>
  <c r="DA88" i="1"/>
  <c r="CT88" i="1" s="1"/>
  <c r="CD88" i="1" s="1"/>
  <c r="DD88" i="1"/>
  <c r="DE88" i="1"/>
  <c r="DG88" i="1"/>
  <c r="DH88" i="1"/>
  <c r="DI88" i="1"/>
  <c r="DJ88" i="1"/>
  <c r="DK88" i="1"/>
  <c r="DL88" i="1"/>
  <c r="DM88" i="1"/>
  <c r="DN88" i="1"/>
  <c r="DO88" i="1"/>
  <c r="DP88" i="1"/>
  <c r="DQ88" i="1"/>
  <c r="DR88" i="1"/>
  <c r="DT88" i="1"/>
  <c r="DU88" i="1"/>
  <c r="DV88" i="1"/>
  <c r="DW88" i="1"/>
  <c r="DX88" i="1"/>
  <c r="G89" i="1"/>
  <c r="AW89" i="1"/>
  <c r="AF89" i="1" s="1"/>
  <c r="BF89" i="1"/>
  <c r="BG89" i="1"/>
  <c r="BH89" i="1"/>
  <c r="BI89" i="1"/>
  <c r="BJ89" i="1"/>
  <c r="BK89" i="1"/>
  <c r="BL89" i="1"/>
  <c r="BM89" i="1"/>
  <c r="BN89" i="1"/>
  <c r="BN152" i="1" s="1"/>
  <c r="BO89" i="1"/>
  <c r="BP89" i="1"/>
  <c r="BQ89" i="1"/>
  <c r="BR89" i="1"/>
  <c r="BS89" i="1"/>
  <c r="BT89" i="1"/>
  <c r="BU89" i="1"/>
  <c r="BW89" i="1"/>
  <c r="BX89" i="1"/>
  <c r="BY89" i="1"/>
  <c r="BZ89" i="1"/>
  <c r="CB89" i="1"/>
  <c r="CU89" i="1"/>
  <c r="CD89" i="1" s="1"/>
  <c r="DD89" i="1"/>
  <c r="DE89" i="1"/>
  <c r="DG89" i="1"/>
  <c r="DH89" i="1"/>
  <c r="DI89" i="1"/>
  <c r="DJ89" i="1"/>
  <c r="DK89" i="1"/>
  <c r="DL89" i="1"/>
  <c r="DM89" i="1"/>
  <c r="DN89" i="1"/>
  <c r="DO89" i="1"/>
  <c r="DP89" i="1"/>
  <c r="DQ89" i="1"/>
  <c r="DR89" i="1"/>
  <c r="DS89" i="1"/>
  <c r="DT89" i="1"/>
  <c r="DU89" i="1"/>
  <c r="DV89" i="1"/>
  <c r="DW89" i="1"/>
  <c r="DX89" i="1"/>
  <c r="DZ89" i="1"/>
  <c r="EB89" i="1"/>
  <c r="G90" i="1"/>
  <c r="I90" i="1"/>
  <c r="BG90" i="1" s="1"/>
  <c r="AD90" i="1"/>
  <c r="BC90" i="1"/>
  <c r="BF90" i="1"/>
  <c r="BH90" i="1"/>
  <c r="BI90" i="1"/>
  <c r="BJ90" i="1"/>
  <c r="BK90" i="1"/>
  <c r="BL90" i="1"/>
  <c r="BM90" i="1"/>
  <c r="BN90" i="1"/>
  <c r="BO90" i="1"/>
  <c r="BP90" i="1"/>
  <c r="BQ90" i="1"/>
  <c r="BR90" i="1"/>
  <c r="BS90" i="1"/>
  <c r="BT90" i="1"/>
  <c r="BU90" i="1"/>
  <c r="BV90" i="1"/>
  <c r="BW90" i="1"/>
  <c r="BX90" i="1"/>
  <c r="BY90" i="1"/>
  <c r="BZ90" i="1"/>
  <c r="DA90" i="1"/>
  <c r="DD90" i="1"/>
  <c r="DE90" i="1"/>
  <c r="DG90" i="1"/>
  <c r="DH90" i="1"/>
  <c r="DI90" i="1"/>
  <c r="DJ90" i="1"/>
  <c r="DK90" i="1"/>
  <c r="DL90" i="1"/>
  <c r="DM90" i="1"/>
  <c r="DN90" i="1"/>
  <c r="DO90" i="1"/>
  <c r="DP90" i="1"/>
  <c r="DQ90" i="1"/>
  <c r="DR90" i="1"/>
  <c r="DS90" i="1"/>
  <c r="DT90" i="1"/>
  <c r="DU90" i="1"/>
  <c r="DV90" i="1"/>
  <c r="DW90" i="1"/>
  <c r="DX90" i="1"/>
  <c r="EB90" i="1"/>
  <c r="G91" i="1"/>
  <c r="AE91" i="1"/>
  <c r="BD91" i="1" s="1"/>
  <c r="AF91" i="1"/>
  <c r="BF91" i="1"/>
  <c r="BG91" i="1"/>
  <c r="BH91" i="1"/>
  <c r="BI91" i="1"/>
  <c r="BJ91" i="1"/>
  <c r="BK91" i="1"/>
  <c r="BL91" i="1"/>
  <c r="BM91" i="1"/>
  <c r="BN91" i="1"/>
  <c r="BO91" i="1"/>
  <c r="BP91" i="1"/>
  <c r="BQ91" i="1"/>
  <c r="BR91" i="1"/>
  <c r="BS91" i="1"/>
  <c r="BT91" i="1"/>
  <c r="BU91" i="1"/>
  <c r="BV91" i="1"/>
  <c r="BW91" i="1"/>
  <c r="BX91" i="1"/>
  <c r="BY91" i="1"/>
  <c r="BZ91" i="1"/>
  <c r="CB91" i="1"/>
  <c r="CD91" i="1"/>
  <c r="CC91" i="1" s="1"/>
  <c r="DB91" i="1"/>
  <c r="DD91" i="1"/>
  <c r="DE91" i="1"/>
  <c r="DG91" i="1"/>
  <c r="DH91" i="1"/>
  <c r="DI91" i="1"/>
  <c r="DJ91" i="1"/>
  <c r="DK91" i="1"/>
  <c r="DL91" i="1"/>
  <c r="DM91" i="1"/>
  <c r="DN91" i="1"/>
  <c r="DO91" i="1"/>
  <c r="DP91" i="1"/>
  <c r="DQ91" i="1"/>
  <c r="DR91" i="1"/>
  <c r="DS91" i="1"/>
  <c r="DT91" i="1"/>
  <c r="DU91" i="1"/>
  <c r="DV91" i="1"/>
  <c r="DW91" i="1"/>
  <c r="DX91" i="1"/>
  <c r="DZ91" i="1"/>
  <c r="EB91" i="1"/>
  <c r="I92" i="1"/>
  <c r="X92" i="1"/>
  <c r="DT92" i="1" s="1"/>
  <c r="Z92" i="1"/>
  <c r="AD92" i="1"/>
  <c r="AH92" i="1"/>
  <c r="AW92" i="1"/>
  <c r="AX92" i="1"/>
  <c r="BW92" i="1" s="1"/>
  <c r="AY92" i="1"/>
  <c r="BC92" i="1"/>
  <c r="CB92" i="1" s="1"/>
  <c r="BF92" i="1"/>
  <c r="BH92" i="1"/>
  <c r="BI92" i="1"/>
  <c r="BJ92" i="1"/>
  <c r="BK92" i="1"/>
  <c r="BL92" i="1"/>
  <c r="BM92" i="1"/>
  <c r="BN92" i="1"/>
  <c r="BO92" i="1"/>
  <c r="BP92" i="1"/>
  <c r="BQ92" i="1"/>
  <c r="BR92" i="1"/>
  <c r="BS92" i="1"/>
  <c r="BT92" i="1"/>
  <c r="BU92" i="1"/>
  <c r="BY92" i="1"/>
  <c r="BZ92" i="1"/>
  <c r="CF92" i="1"/>
  <c r="CU92" i="1"/>
  <c r="CV92" i="1"/>
  <c r="CV152" i="1" s="1"/>
  <c r="CW92" i="1"/>
  <c r="DD92" i="1"/>
  <c r="DE92" i="1"/>
  <c r="DG92" i="1"/>
  <c r="DH92" i="1"/>
  <c r="DI92" i="1"/>
  <c r="DJ92" i="1"/>
  <c r="DK92" i="1"/>
  <c r="DL92" i="1"/>
  <c r="DM92" i="1"/>
  <c r="DN92" i="1"/>
  <c r="DO92" i="1"/>
  <c r="DP92" i="1"/>
  <c r="DQ92" i="1"/>
  <c r="DR92" i="1"/>
  <c r="DS92" i="1"/>
  <c r="DW92" i="1"/>
  <c r="DX92" i="1"/>
  <c r="G93" i="1"/>
  <c r="EB93" i="1" s="1"/>
  <c r="X93" i="1"/>
  <c r="BV93" i="1" s="1"/>
  <c r="AW93" i="1"/>
  <c r="AF93" i="1" s="1"/>
  <c r="AE93" i="1" s="1"/>
  <c r="BD93" i="1" s="1"/>
  <c r="BF93" i="1"/>
  <c r="BG93" i="1"/>
  <c r="BH93" i="1"/>
  <c r="BI93" i="1"/>
  <c r="BJ93" i="1"/>
  <c r="BK93" i="1"/>
  <c r="BL93" i="1"/>
  <c r="BM93" i="1"/>
  <c r="BN93" i="1"/>
  <c r="BO93" i="1"/>
  <c r="BP93" i="1"/>
  <c r="BQ93" i="1"/>
  <c r="BR93" i="1"/>
  <c r="BS93" i="1"/>
  <c r="BT93" i="1"/>
  <c r="BU93" i="1"/>
  <c r="BW93" i="1"/>
  <c r="BX93" i="1"/>
  <c r="BY93" i="1"/>
  <c r="BZ93" i="1"/>
  <c r="CB93" i="1"/>
  <c r="CD93" i="1"/>
  <c r="CC93" i="1" s="1"/>
  <c r="DB93" i="1" s="1"/>
  <c r="CU93" i="1"/>
  <c r="DD93" i="1"/>
  <c r="DE93" i="1"/>
  <c r="DG93" i="1"/>
  <c r="DH93" i="1"/>
  <c r="DI93" i="1"/>
  <c r="DJ93" i="1"/>
  <c r="DK93" i="1"/>
  <c r="DL93" i="1"/>
  <c r="DM93" i="1"/>
  <c r="DN93" i="1"/>
  <c r="DO93" i="1"/>
  <c r="DP93" i="1"/>
  <c r="DQ93" i="1"/>
  <c r="DR93" i="1"/>
  <c r="DS93" i="1"/>
  <c r="DT93" i="1"/>
  <c r="DU93" i="1"/>
  <c r="DV93" i="1"/>
  <c r="DW93" i="1"/>
  <c r="DX93" i="1"/>
  <c r="DZ93" i="1"/>
  <c r="G94" i="1"/>
  <c r="EB94" i="1" s="1"/>
  <c r="X94" i="1"/>
  <c r="AW94" i="1"/>
  <c r="AF94" i="1" s="1"/>
  <c r="BF94" i="1"/>
  <c r="BG94" i="1"/>
  <c r="BH94" i="1"/>
  <c r="BI94" i="1"/>
  <c r="BJ94" i="1"/>
  <c r="BK94" i="1"/>
  <c r="BL94" i="1"/>
  <c r="BM94" i="1"/>
  <c r="BM152" i="1" s="1"/>
  <c r="BN94" i="1"/>
  <c r="BO94" i="1"/>
  <c r="BP94" i="1"/>
  <c r="BQ94" i="1"/>
  <c r="BR94" i="1"/>
  <c r="BS94" i="1"/>
  <c r="BT94" i="1"/>
  <c r="BU94" i="1"/>
  <c r="BW94" i="1"/>
  <c r="BX94" i="1"/>
  <c r="BY94" i="1"/>
  <c r="BZ94" i="1"/>
  <c r="CB94" i="1"/>
  <c r="CU94" i="1"/>
  <c r="CD94" i="1" s="1"/>
  <c r="DD94" i="1"/>
  <c r="DE94" i="1"/>
  <c r="DG94" i="1"/>
  <c r="DH94" i="1"/>
  <c r="DI94" i="1"/>
  <c r="DJ94" i="1"/>
  <c r="DK94" i="1"/>
  <c r="DL94" i="1"/>
  <c r="DM94" i="1"/>
  <c r="DN94" i="1"/>
  <c r="DO94" i="1"/>
  <c r="DP94" i="1"/>
  <c r="DQ94" i="1"/>
  <c r="DR94" i="1"/>
  <c r="DS94" i="1"/>
  <c r="DU94" i="1"/>
  <c r="DV94" i="1"/>
  <c r="DW94" i="1"/>
  <c r="DW152" i="1" s="1"/>
  <c r="DX94" i="1"/>
  <c r="DZ94" i="1"/>
  <c r="I95" i="1"/>
  <c r="G95" i="1" s="1"/>
  <c r="AH95" i="1"/>
  <c r="AX95" i="1"/>
  <c r="BW95" i="1" s="1"/>
  <c r="BF95" i="1"/>
  <c r="BH95" i="1"/>
  <c r="BI95" i="1"/>
  <c r="BJ95" i="1"/>
  <c r="BK95" i="1"/>
  <c r="BL95" i="1"/>
  <c r="BM95" i="1"/>
  <c r="BN95" i="1"/>
  <c r="BO95" i="1"/>
  <c r="BP95" i="1"/>
  <c r="BQ95" i="1"/>
  <c r="BR95" i="1"/>
  <c r="BS95" i="1"/>
  <c r="BT95" i="1"/>
  <c r="BU95" i="1"/>
  <c r="BV95" i="1"/>
  <c r="BX95" i="1"/>
  <c r="BY95" i="1"/>
  <c r="BZ95" i="1"/>
  <c r="CB95" i="1"/>
  <c r="CV95" i="1"/>
  <c r="CF95" i="1" s="1"/>
  <c r="DE95" i="1" s="1"/>
  <c r="DD95" i="1"/>
  <c r="DG95" i="1"/>
  <c r="DH95" i="1"/>
  <c r="DI95" i="1"/>
  <c r="DJ95" i="1"/>
  <c r="DK95" i="1"/>
  <c r="DL95" i="1"/>
  <c r="DM95" i="1"/>
  <c r="DN95" i="1"/>
  <c r="DO95" i="1"/>
  <c r="DP95" i="1"/>
  <c r="DQ95" i="1"/>
  <c r="DR95" i="1"/>
  <c r="DS95" i="1"/>
  <c r="DT95" i="1"/>
  <c r="DV95" i="1"/>
  <c r="DW95" i="1"/>
  <c r="DX95" i="1"/>
  <c r="DZ95" i="1"/>
  <c r="EB95" i="1"/>
  <c r="X96" i="1"/>
  <c r="G96" i="1" s="1"/>
  <c r="EB96" i="1" s="1"/>
  <c r="AH96" i="1"/>
  <c r="AF96" i="1" s="1"/>
  <c r="AW96" i="1"/>
  <c r="BV96" i="1" s="1"/>
  <c r="BF96" i="1"/>
  <c r="BG96" i="1"/>
  <c r="BH96" i="1"/>
  <c r="BI96" i="1"/>
  <c r="BJ96" i="1"/>
  <c r="BK96" i="1"/>
  <c r="BL96" i="1"/>
  <c r="BM96" i="1"/>
  <c r="BN96" i="1"/>
  <c r="BO96" i="1"/>
  <c r="BP96" i="1"/>
  <c r="BQ96" i="1"/>
  <c r="BR96" i="1"/>
  <c r="BS96" i="1"/>
  <c r="BT96" i="1"/>
  <c r="BU96" i="1"/>
  <c r="BW96" i="1"/>
  <c r="BX96" i="1"/>
  <c r="BY96" i="1"/>
  <c r="BZ96" i="1"/>
  <c r="CB96" i="1"/>
  <c r="CF96" i="1"/>
  <c r="DE96" i="1" s="1"/>
  <c r="CU96" i="1"/>
  <c r="DT96" i="1" s="1"/>
  <c r="DD96" i="1"/>
  <c r="DG96" i="1"/>
  <c r="DG104" i="1" s="1"/>
  <c r="DH96" i="1"/>
  <c r="DI96" i="1"/>
  <c r="DJ96" i="1"/>
  <c r="DK96" i="1"/>
  <c r="DL96" i="1"/>
  <c r="DM96" i="1"/>
  <c r="DN96" i="1"/>
  <c r="DO96" i="1"/>
  <c r="DP96" i="1"/>
  <c r="DQ96" i="1"/>
  <c r="DR96" i="1"/>
  <c r="DS96" i="1"/>
  <c r="DU96" i="1"/>
  <c r="DV96" i="1"/>
  <c r="DW96" i="1"/>
  <c r="DX96" i="1"/>
  <c r="DZ96" i="1"/>
  <c r="G97" i="1"/>
  <c r="AH97" i="1"/>
  <c r="BG97" i="1" s="1"/>
  <c r="AY97" i="1"/>
  <c r="BX97" i="1" s="1"/>
  <c r="BF97" i="1"/>
  <c r="BH97" i="1"/>
  <c r="BI97" i="1"/>
  <c r="BJ97" i="1"/>
  <c r="BK97" i="1"/>
  <c r="BL97" i="1"/>
  <c r="BM97" i="1"/>
  <c r="BN97" i="1"/>
  <c r="BO97" i="1"/>
  <c r="BP97" i="1"/>
  <c r="BQ97" i="1"/>
  <c r="BR97" i="1"/>
  <c r="BS97" i="1"/>
  <c r="BT97" i="1"/>
  <c r="BU97" i="1"/>
  <c r="BV97" i="1"/>
  <c r="BW97" i="1"/>
  <c r="BY97" i="1"/>
  <c r="BZ97" i="1"/>
  <c r="CB97" i="1"/>
  <c r="CF97" i="1"/>
  <c r="CD97" i="1" s="1"/>
  <c r="CC97" i="1" s="1"/>
  <c r="DB97" i="1" s="1"/>
  <c r="CW97" i="1"/>
  <c r="DV97" i="1" s="1"/>
  <c r="DD97" i="1"/>
  <c r="DG97" i="1"/>
  <c r="DH97" i="1"/>
  <c r="DI97" i="1"/>
  <c r="DJ97" i="1"/>
  <c r="DK97" i="1"/>
  <c r="DL97" i="1"/>
  <c r="DM97" i="1"/>
  <c r="DN97" i="1"/>
  <c r="DO97" i="1"/>
  <c r="DP97" i="1"/>
  <c r="DQ97" i="1"/>
  <c r="DR97" i="1"/>
  <c r="DS97" i="1"/>
  <c r="DT97" i="1"/>
  <c r="DU97" i="1"/>
  <c r="DW97" i="1"/>
  <c r="DX97" i="1"/>
  <c r="DZ97" i="1"/>
  <c r="EB97" i="1"/>
  <c r="G98" i="1"/>
  <c r="AW98" i="1"/>
  <c r="BF98" i="1"/>
  <c r="BG98" i="1"/>
  <c r="BH98" i="1"/>
  <c r="BI98" i="1"/>
  <c r="BJ98" i="1"/>
  <c r="BK98" i="1"/>
  <c r="BL98" i="1"/>
  <c r="BM98" i="1"/>
  <c r="BN98" i="1"/>
  <c r="BO98" i="1"/>
  <c r="BP98" i="1"/>
  <c r="BQ98" i="1"/>
  <c r="BR98" i="1"/>
  <c r="BS98" i="1"/>
  <c r="BT98" i="1"/>
  <c r="BU98" i="1"/>
  <c r="BW98" i="1"/>
  <c r="BX98" i="1"/>
  <c r="BY98" i="1"/>
  <c r="BZ98" i="1"/>
  <c r="CB98" i="1"/>
  <c r="CU98" i="1"/>
  <c r="DD98" i="1"/>
  <c r="DE98" i="1"/>
  <c r="DG98" i="1"/>
  <c r="DH98" i="1"/>
  <c r="DI98" i="1"/>
  <c r="DJ98" i="1"/>
  <c r="DK98" i="1"/>
  <c r="DL98" i="1"/>
  <c r="DM98" i="1"/>
  <c r="DN98" i="1"/>
  <c r="DO98" i="1"/>
  <c r="DP98" i="1"/>
  <c r="DQ98" i="1"/>
  <c r="DR98" i="1"/>
  <c r="DS98" i="1"/>
  <c r="DU98" i="1"/>
  <c r="DV98" i="1"/>
  <c r="DW98" i="1"/>
  <c r="DX98" i="1"/>
  <c r="DZ98" i="1"/>
  <c r="EB98" i="1"/>
  <c r="G99" i="1"/>
  <c r="AH99" i="1"/>
  <c r="BG99" i="1" s="1"/>
  <c r="BF99" i="1"/>
  <c r="BH99" i="1"/>
  <c r="BI99" i="1"/>
  <c r="BJ99" i="1"/>
  <c r="BK99" i="1"/>
  <c r="BL99" i="1"/>
  <c r="BM99" i="1"/>
  <c r="BN99" i="1"/>
  <c r="BE99" i="1" s="1"/>
  <c r="BO99" i="1"/>
  <c r="BP99" i="1"/>
  <c r="BQ99" i="1"/>
  <c r="BR99" i="1"/>
  <c r="BS99" i="1"/>
  <c r="BT99" i="1"/>
  <c r="BU99" i="1"/>
  <c r="BV99" i="1"/>
  <c r="BW99" i="1"/>
  <c r="BX99" i="1"/>
  <c r="BY99" i="1"/>
  <c r="BZ99" i="1"/>
  <c r="CB99" i="1"/>
  <c r="CD99" i="1"/>
  <c r="CF99" i="1"/>
  <c r="DE99" i="1" s="1"/>
  <c r="DD99" i="1"/>
  <c r="DG99" i="1"/>
  <c r="DH99" i="1"/>
  <c r="DI99" i="1"/>
  <c r="DJ99" i="1"/>
  <c r="DK99" i="1"/>
  <c r="DL99" i="1"/>
  <c r="DM99" i="1"/>
  <c r="DN99" i="1"/>
  <c r="DO99" i="1"/>
  <c r="DP99" i="1"/>
  <c r="DQ99" i="1"/>
  <c r="DR99" i="1"/>
  <c r="DS99" i="1"/>
  <c r="DT99" i="1"/>
  <c r="DU99" i="1"/>
  <c r="DV99" i="1"/>
  <c r="DW99" i="1"/>
  <c r="DX99" i="1"/>
  <c r="DZ99" i="1"/>
  <c r="EB99" i="1"/>
  <c r="G100" i="1"/>
  <c r="X100" i="1"/>
  <c r="BV100" i="1" s="1"/>
  <c r="AF100" i="1"/>
  <c r="BF100" i="1"/>
  <c r="BG100" i="1"/>
  <c r="BH100" i="1"/>
  <c r="BI100" i="1"/>
  <c r="BJ100" i="1"/>
  <c r="BK100" i="1"/>
  <c r="BL100" i="1"/>
  <c r="BM100" i="1"/>
  <c r="BN100" i="1"/>
  <c r="BO100" i="1"/>
  <c r="BP100" i="1"/>
  <c r="BQ100" i="1"/>
  <c r="BR100" i="1"/>
  <c r="BS100" i="1"/>
  <c r="BT100" i="1"/>
  <c r="BU100" i="1"/>
  <c r="BW100" i="1"/>
  <c r="BX100" i="1"/>
  <c r="BY100" i="1"/>
  <c r="BZ100" i="1"/>
  <c r="CB100" i="1"/>
  <c r="CD100" i="1"/>
  <c r="DD100" i="1"/>
  <c r="DE100" i="1"/>
  <c r="DG100" i="1"/>
  <c r="DH100" i="1"/>
  <c r="DI100" i="1"/>
  <c r="DI152" i="1" s="1"/>
  <c r="DJ100" i="1"/>
  <c r="DK100" i="1"/>
  <c r="DL100" i="1"/>
  <c r="DM100" i="1"/>
  <c r="DN100" i="1"/>
  <c r="DO100" i="1"/>
  <c r="DP100" i="1"/>
  <c r="DQ100" i="1"/>
  <c r="DQ152" i="1" s="1"/>
  <c r="DR100" i="1"/>
  <c r="DS100" i="1"/>
  <c r="DT100" i="1"/>
  <c r="DU100" i="1"/>
  <c r="DV100" i="1"/>
  <c r="DW100" i="1"/>
  <c r="DX100" i="1"/>
  <c r="DZ100" i="1"/>
  <c r="X101" i="1"/>
  <c r="AF101" i="1"/>
  <c r="BI101" i="1"/>
  <c r="CD101" i="1"/>
  <c r="DD101" i="1"/>
  <c r="DE101" i="1"/>
  <c r="DG101" i="1"/>
  <c r="DH101" i="1"/>
  <c r="DI101" i="1"/>
  <c r="DJ101" i="1"/>
  <c r="DK101" i="1"/>
  <c r="DL101" i="1"/>
  <c r="DM101" i="1"/>
  <c r="DM152" i="1" s="1"/>
  <c r="DN101" i="1"/>
  <c r="DO101" i="1"/>
  <c r="DP101" i="1"/>
  <c r="DQ101" i="1"/>
  <c r="DR101" i="1"/>
  <c r="DS101" i="1"/>
  <c r="DU101" i="1"/>
  <c r="DV101" i="1"/>
  <c r="DW101" i="1"/>
  <c r="DX101" i="1"/>
  <c r="DX152" i="1" s="1"/>
  <c r="DZ101" i="1"/>
  <c r="Z102" i="1"/>
  <c r="DV102" i="1" s="1"/>
  <c r="AD102" i="1"/>
  <c r="AH102" i="1"/>
  <c r="BG102" i="1" s="1"/>
  <c r="AX102" i="1"/>
  <c r="AY102" i="1"/>
  <c r="BC102" i="1"/>
  <c r="CB102" i="1" s="1"/>
  <c r="BF102" i="1"/>
  <c r="BH102" i="1"/>
  <c r="BI102" i="1"/>
  <c r="BJ102" i="1"/>
  <c r="BK102" i="1"/>
  <c r="BL102" i="1"/>
  <c r="BL104" i="1" s="1"/>
  <c r="BM102" i="1"/>
  <c r="BN102" i="1"/>
  <c r="BO102" i="1"/>
  <c r="BP102" i="1"/>
  <c r="BQ102" i="1"/>
  <c r="BR102" i="1"/>
  <c r="BS102" i="1"/>
  <c r="BT102" i="1"/>
  <c r="BU102" i="1"/>
  <c r="BV102" i="1"/>
  <c r="BW102" i="1"/>
  <c r="BX102" i="1"/>
  <c r="BY102" i="1"/>
  <c r="BZ102" i="1"/>
  <c r="CF102" i="1"/>
  <c r="CV102" i="1"/>
  <c r="DU102" i="1" s="1"/>
  <c r="CW102" i="1"/>
  <c r="DD102" i="1"/>
  <c r="DG102" i="1"/>
  <c r="DH102" i="1"/>
  <c r="DI102" i="1"/>
  <c r="DJ102" i="1"/>
  <c r="DK102" i="1"/>
  <c r="DL102" i="1"/>
  <c r="DM102" i="1"/>
  <c r="DN102" i="1"/>
  <c r="DO102" i="1"/>
  <c r="DP102" i="1"/>
  <c r="DQ102" i="1"/>
  <c r="DR102" i="1"/>
  <c r="DS102" i="1"/>
  <c r="DT102" i="1"/>
  <c r="DW102" i="1"/>
  <c r="DX102" i="1"/>
  <c r="G103" i="1"/>
  <c r="EB103" i="1" s="1"/>
  <c r="AD103" i="1"/>
  <c r="BC103" i="1"/>
  <c r="AF103" i="1" s="1"/>
  <c r="BF103" i="1"/>
  <c r="BG103" i="1"/>
  <c r="BH103" i="1"/>
  <c r="BI103" i="1"/>
  <c r="BJ103" i="1"/>
  <c r="BK103" i="1"/>
  <c r="BL103" i="1"/>
  <c r="BM103" i="1"/>
  <c r="BN103" i="1"/>
  <c r="BO103" i="1"/>
  <c r="BP103" i="1"/>
  <c r="BQ103" i="1"/>
  <c r="BR103" i="1"/>
  <c r="BS103" i="1"/>
  <c r="BT103" i="1"/>
  <c r="BU103" i="1"/>
  <c r="BV103" i="1"/>
  <c r="BW103" i="1"/>
  <c r="BX103" i="1"/>
  <c r="BY103" i="1"/>
  <c r="BZ103" i="1"/>
  <c r="DA103" i="1"/>
  <c r="CD103" i="1" s="1"/>
  <c r="DD103" i="1"/>
  <c r="DE103" i="1"/>
  <c r="DG103" i="1"/>
  <c r="DH103" i="1"/>
  <c r="DI103" i="1"/>
  <c r="DJ103" i="1"/>
  <c r="DK103" i="1"/>
  <c r="DL103" i="1"/>
  <c r="DM103" i="1"/>
  <c r="DN103" i="1"/>
  <c r="DO103" i="1"/>
  <c r="DP103" i="1"/>
  <c r="DQ103" i="1"/>
  <c r="DR103" i="1"/>
  <c r="DS103" i="1"/>
  <c r="DT103" i="1"/>
  <c r="DU103" i="1"/>
  <c r="DV103" i="1"/>
  <c r="DW103" i="1"/>
  <c r="DX103" i="1"/>
  <c r="H104" i="1"/>
  <c r="H144" i="1" s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104" i="1"/>
  <c r="Y104" i="1"/>
  <c r="AA104" i="1"/>
  <c r="AB104" i="1"/>
  <c r="AC104" i="1"/>
  <c r="AG104" i="1"/>
  <c r="AI104" i="1"/>
  <c r="AK104" i="1"/>
  <c r="AL104" i="1"/>
  <c r="AM104" i="1"/>
  <c r="AN104" i="1"/>
  <c r="AO104" i="1"/>
  <c r="AP104" i="1"/>
  <c r="AQ104" i="1"/>
  <c r="AR104" i="1"/>
  <c r="AS104" i="1"/>
  <c r="AT104" i="1"/>
  <c r="AU104" i="1"/>
  <c r="AZ104" i="1"/>
  <c r="BA104" i="1"/>
  <c r="BB104" i="1"/>
  <c r="CA104" i="1"/>
  <c r="CE104" i="1"/>
  <c r="CG104" i="1"/>
  <c r="CI104" i="1"/>
  <c r="CJ104" i="1"/>
  <c r="CK104" i="1"/>
  <c r="CL104" i="1"/>
  <c r="CM104" i="1"/>
  <c r="CN104" i="1"/>
  <c r="CO104" i="1"/>
  <c r="CP104" i="1"/>
  <c r="CQ104" i="1"/>
  <c r="CR104" i="1"/>
  <c r="CS104" i="1"/>
  <c r="CX104" i="1"/>
  <c r="CY104" i="1"/>
  <c r="CZ104" i="1"/>
  <c r="DF104" i="1"/>
  <c r="DY104" i="1"/>
  <c r="G105" i="1"/>
  <c r="AZ105" i="1"/>
  <c r="BF105" i="1"/>
  <c r="BG105" i="1"/>
  <c r="BH105" i="1"/>
  <c r="BH121" i="1" s="1"/>
  <c r="BI105" i="1"/>
  <c r="BJ105" i="1"/>
  <c r="BK105" i="1"/>
  <c r="BL105" i="1"/>
  <c r="BM105" i="1"/>
  <c r="BN105" i="1"/>
  <c r="BO105" i="1"/>
  <c r="BP105" i="1"/>
  <c r="BQ105" i="1"/>
  <c r="BR105" i="1"/>
  <c r="BS105" i="1"/>
  <c r="BT105" i="1"/>
  <c r="BU105" i="1"/>
  <c r="BV105" i="1"/>
  <c r="BW105" i="1"/>
  <c r="BX105" i="1"/>
  <c r="BZ105" i="1"/>
  <c r="CB105" i="1"/>
  <c r="CX105" i="1"/>
  <c r="DW105" i="1" s="1"/>
  <c r="DD105" i="1"/>
  <c r="DE105" i="1"/>
  <c r="DG105" i="1"/>
  <c r="DH105" i="1"/>
  <c r="DI105" i="1"/>
  <c r="DJ105" i="1"/>
  <c r="DK105" i="1"/>
  <c r="DL105" i="1"/>
  <c r="DM105" i="1"/>
  <c r="DN105" i="1"/>
  <c r="DO105" i="1"/>
  <c r="DP105" i="1"/>
  <c r="DQ105" i="1"/>
  <c r="DR105" i="1"/>
  <c r="DS105" i="1"/>
  <c r="DT105" i="1"/>
  <c r="DU105" i="1"/>
  <c r="DV105" i="1"/>
  <c r="DX105" i="1"/>
  <c r="DZ105" i="1"/>
  <c r="EB105" i="1"/>
  <c r="G106" i="1"/>
  <c r="AG106" i="1"/>
  <c r="BF106" i="1" s="1"/>
  <c r="AZ106" i="1"/>
  <c r="BY106" i="1" s="1"/>
  <c r="BG106" i="1"/>
  <c r="BH106" i="1"/>
  <c r="BI106" i="1"/>
  <c r="BJ106" i="1"/>
  <c r="BK106" i="1"/>
  <c r="BL106" i="1"/>
  <c r="BM106" i="1"/>
  <c r="BN106" i="1"/>
  <c r="BO106" i="1"/>
  <c r="BP106" i="1"/>
  <c r="BQ106" i="1"/>
  <c r="BR106" i="1"/>
  <c r="BS106" i="1"/>
  <c r="BT106" i="1"/>
  <c r="BU106" i="1"/>
  <c r="BV106" i="1"/>
  <c r="BW106" i="1"/>
  <c r="BX106" i="1"/>
  <c r="BZ106" i="1"/>
  <c r="CB106" i="1"/>
  <c r="CE106" i="1"/>
  <c r="DE106" i="1"/>
  <c r="DG106" i="1"/>
  <c r="DH106" i="1"/>
  <c r="DI106" i="1"/>
  <c r="DJ106" i="1"/>
  <c r="DK106" i="1"/>
  <c r="DL106" i="1"/>
  <c r="DM106" i="1"/>
  <c r="DN106" i="1"/>
  <c r="DO106" i="1"/>
  <c r="DP106" i="1"/>
  <c r="DQ106" i="1"/>
  <c r="DR106" i="1"/>
  <c r="DS106" i="1"/>
  <c r="DT106" i="1"/>
  <c r="DU106" i="1"/>
  <c r="DV106" i="1"/>
  <c r="DX106" i="1"/>
  <c r="DZ106" i="1"/>
  <c r="EB106" i="1"/>
  <c r="AA107" i="1"/>
  <c r="AG107" i="1"/>
  <c r="AZ107" i="1"/>
  <c r="BG107" i="1"/>
  <c r="BH107" i="1"/>
  <c r="BI107" i="1"/>
  <c r="BJ107" i="1"/>
  <c r="BK107" i="1"/>
  <c r="BL107" i="1"/>
  <c r="BM107" i="1"/>
  <c r="BN107" i="1"/>
  <c r="BO107" i="1"/>
  <c r="BP107" i="1"/>
  <c r="BQ107" i="1"/>
  <c r="BR107" i="1"/>
  <c r="BS107" i="1"/>
  <c r="BT107" i="1"/>
  <c r="BU107" i="1"/>
  <c r="BV107" i="1"/>
  <c r="BW107" i="1"/>
  <c r="BX107" i="1"/>
  <c r="BZ107" i="1"/>
  <c r="CB107" i="1"/>
  <c r="CE107" i="1"/>
  <c r="DD107" i="1" s="1"/>
  <c r="CX107" i="1"/>
  <c r="DE107" i="1"/>
  <c r="DG107" i="1"/>
  <c r="DH107" i="1"/>
  <c r="DI107" i="1"/>
  <c r="DJ107" i="1"/>
  <c r="DK107" i="1"/>
  <c r="DL107" i="1"/>
  <c r="DM107" i="1"/>
  <c r="DN107" i="1"/>
  <c r="DO107" i="1"/>
  <c r="DP107" i="1"/>
  <c r="DQ107" i="1"/>
  <c r="DR107" i="1"/>
  <c r="DS107" i="1"/>
  <c r="DT107" i="1"/>
  <c r="DU107" i="1"/>
  <c r="DV107" i="1"/>
  <c r="DX107" i="1"/>
  <c r="DZ107" i="1"/>
  <c r="AA108" i="1"/>
  <c r="AF108" i="1"/>
  <c r="BI108" i="1"/>
  <c r="CD108" i="1"/>
  <c r="DB108" i="1"/>
  <c r="DD108" i="1"/>
  <c r="DE108" i="1"/>
  <c r="DG108" i="1"/>
  <c r="DH108" i="1"/>
  <c r="DI108" i="1"/>
  <c r="DJ108" i="1"/>
  <c r="DK108" i="1"/>
  <c r="DL108" i="1"/>
  <c r="DM108" i="1"/>
  <c r="DN108" i="1"/>
  <c r="DO108" i="1"/>
  <c r="DP108" i="1"/>
  <c r="DQ108" i="1"/>
  <c r="DR108" i="1"/>
  <c r="DS108" i="1"/>
  <c r="DT108" i="1"/>
  <c r="DU108" i="1"/>
  <c r="DV108" i="1"/>
  <c r="DX108" i="1"/>
  <c r="DZ108" i="1"/>
  <c r="H109" i="1"/>
  <c r="I109" i="1"/>
  <c r="Z109" i="1"/>
  <c r="AD109" i="1"/>
  <c r="AG109" i="1"/>
  <c r="AH109" i="1"/>
  <c r="BG109" i="1" s="1"/>
  <c r="AY109" i="1"/>
  <c r="AZ109" i="1"/>
  <c r="BY109" i="1" s="1"/>
  <c r="BC109" i="1"/>
  <c r="CB109" i="1" s="1"/>
  <c r="BH109" i="1"/>
  <c r="BI109" i="1"/>
  <c r="BJ109" i="1"/>
  <c r="BK109" i="1"/>
  <c r="BL109" i="1"/>
  <c r="BM109" i="1"/>
  <c r="BN109" i="1"/>
  <c r="BO109" i="1"/>
  <c r="BP109" i="1"/>
  <c r="BQ109" i="1"/>
  <c r="BQ148" i="1" s="1"/>
  <c r="BR109" i="1"/>
  <c r="BS109" i="1"/>
  <c r="BT109" i="1"/>
  <c r="BU109" i="1"/>
  <c r="BV109" i="1"/>
  <c r="BW109" i="1"/>
  <c r="BZ109" i="1"/>
  <c r="CE109" i="1"/>
  <c r="CF109" i="1"/>
  <c r="CF148" i="1" s="1"/>
  <c r="CW109" i="1"/>
  <c r="CW148" i="1" s="1"/>
  <c r="CX109" i="1"/>
  <c r="DW109" i="1" s="1"/>
  <c r="DA109" i="1"/>
  <c r="DE109" i="1"/>
  <c r="DF109" i="1"/>
  <c r="DG109" i="1"/>
  <c r="DH109" i="1"/>
  <c r="DI109" i="1"/>
  <c r="DJ109" i="1"/>
  <c r="DK109" i="1"/>
  <c r="DL109" i="1"/>
  <c r="DM109" i="1"/>
  <c r="DN109" i="1"/>
  <c r="DO109" i="1"/>
  <c r="DP109" i="1"/>
  <c r="DQ109" i="1"/>
  <c r="DR109" i="1"/>
  <c r="DS109" i="1"/>
  <c r="DT109" i="1"/>
  <c r="DU109" i="1"/>
  <c r="DX109" i="1"/>
  <c r="Z110" i="1"/>
  <c r="AD110" i="1"/>
  <c r="AL110" i="1"/>
  <c r="AL148" i="1" s="1"/>
  <c r="AW110" i="1"/>
  <c r="AW148" i="1" s="1"/>
  <c r="AX110" i="1"/>
  <c r="AX148" i="1" s="1"/>
  <c r="AY110" i="1"/>
  <c r="BC110" i="1"/>
  <c r="BF110" i="1"/>
  <c r="BG110" i="1"/>
  <c r="BH110" i="1"/>
  <c r="BI110" i="1"/>
  <c r="BJ110" i="1"/>
  <c r="BL110" i="1"/>
  <c r="BM110" i="1"/>
  <c r="BN110" i="1"/>
  <c r="BO110" i="1"/>
  <c r="BP110" i="1"/>
  <c r="BQ110" i="1"/>
  <c r="BR110" i="1"/>
  <c r="BS110" i="1"/>
  <c r="BS148" i="1" s="1"/>
  <c r="BT110" i="1"/>
  <c r="BU110" i="1"/>
  <c r="BY110" i="1"/>
  <c r="BZ110" i="1"/>
  <c r="CJ110" i="1"/>
  <c r="DI110" i="1" s="1"/>
  <c r="DI121" i="1" s="1"/>
  <c r="CU110" i="1"/>
  <c r="CV110" i="1"/>
  <c r="CV148" i="1" s="1"/>
  <c r="CW110" i="1"/>
  <c r="DA110" i="1"/>
  <c r="DZ110" i="1" s="1"/>
  <c r="DD110" i="1"/>
  <c r="DE110" i="1"/>
  <c r="DG110" i="1"/>
  <c r="DH110" i="1"/>
  <c r="DJ110" i="1"/>
  <c r="DK110" i="1"/>
  <c r="DL110" i="1"/>
  <c r="DM110" i="1"/>
  <c r="DN110" i="1"/>
  <c r="DO110" i="1"/>
  <c r="DP110" i="1"/>
  <c r="DQ110" i="1"/>
  <c r="DR110" i="1"/>
  <c r="DS110" i="1"/>
  <c r="DT110" i="1"/>
  <c r="DW110" i="1"/>
  <c r="DX110" i="1"/>
  <c r="G111" i="1"/>
  <c r="AD111" i="1"/>
  <c r="AZ111" i="1"/>
  <c r="BC111" i="1"/>
  <c r="CB111" i="1" s="1"/>
  <c r="BF111" i="1"/>
  <c r="BG111" i="1"/>
  <c r="BH111" i="1"/>
  <c r="BI111" i="1"/>
  <c r="BJ111" i="1"/>
  <c r="BK111" i="1"/>
  <c r="BL111" i="1"/>
  <c r="BM111" i="1"/>
  <c r="BN111" i="1"/>
  <c r="BO111" i="1"/>
  <c r="BP111" i="1"/>
  <c r="BQ111" i="1"/>
  <c r="BR111" i="1"/>
  <c r="BS111" i="1"/>
  <c r="BT111" i="1"/>
  <c r="BU111" i="1"/>
  <c r="BV111" i="1"/>
  <c r="BW111" i="1"/>
  <c r="BX111" i="1"/>
  <c r="BZ111" i="1"/>
  <c r="CX111" i="1"/>
  <c r="DA111" i="1"/>
  <c r="DA148" i="1" s="1"/>
  <c r="DD111" i="1"/>
  <c r="DE111" i="1"/>
  <c r="DF111" i="1"/>
  <c r="DG111" i="1"/>
  <c r="DH111" i="1"/>
  <c r="DI111" i="1"/>
  <c r="DJ111" i="1"/>
  <c r="DK111" i="1"/>
  <c r="DL111" i="1"/>
  <c r="DM111" i="1"/>
  <c r="DN111" i="1"/>
  <c r="DO111" i="1"/>
  <c r="DP111" i="1"/>
  <c r="DQ111" i="1"/>
  <c r="DR111" i="1"/>
  <c r="DS111" i="1"/>
  <c r="DT111" i="1"/>
  <c r="DU111" i="1"/>
  <c r="DV111" i="1"/>
  <c r="DW111" i="1"/>
  <c r="DX111" i="1"/>
  <c r="EB111" i="1"/>
  <c r="G112" i="1"/>
  <c r="EB112" i="1" s="1"/>
  <c r="AZ112" i="1"/>
  <c r="BF112" i="1"/>
  <c r="BG112" i="1"/>
  <c r="BH112" i="1"/>
  <c r="BI112" i="1"/>
  <c r="BJ112" i="1"/>
  <c r="BK112" i="1"/>
  <c r="BL112" i="1"/>
  <c r="BM112" i="1"/>
  <c r="BN112" i="1"/>
  <c r="BO112" i="1"/>
  <c r="BP112" i="1"/>
  <c r="BQ112" i="1"/>
  <c r="BR112" i="1"/>
  <c r="BS112" i="1"/>
  <c r="BT112" i="1"/>
  <c r="BU112" i="1"/>
  <c r="BV112" i="1"/>
  <c r="BW112" i="1"/>
  <c r="BX112" i="1"/>
  <c r="BZ112" i="1"/>
  <c r="CB112" i="1"/>
  <c r="CX112" i="1"/>
  <c r="DW112" i="1" s="1"/>
  <c r="DD112" i="1"/>
  <c r="DE112" i="1"/>
  <c r="DG112" i="1"/>
  <c r="DH112" i="1"/>
  <c r="DI112" i="1"/>
  <c r="DJ112" i="1"/>
  <c r="DK112" i="1"/>
  <c r="DL112" i="1"/>
  <c r="DM112" i="1"/>
  <c r="DN112" i="1"/>
  <c r="DO112" i="1"/>
  <c r="DO148" i="1" s="1"/>
  <c r="DP112" i="1"/>
  <c r="DQ112" i="1"/>
  <c r="DR112" i="1"/>
  <c r="DS112" i="1"/>
  <c r="DT112" i="1"/>
  <c r="DU112" i="1"/>
  <c r="DV112" i="1"/>
  <c r="DX112" i="1"/>
  <c r="DZ112" i="1"/>
  <c r="G113" i="1"/>
  <c r="EB113" i="1" s="1"/>
  <c r="AZ113" i="1"/>
  <c r="BF113" i="1"/>
  <c r="BG113" i="1"/>
  <c r="BH113" i="1"/>
  <c r="BI113" i="1"/>
  <c r="BJ113" i="1"/>
  <c r="BK113" i="1"/>
  <c r="BL113" i="1"/>
  <c r="BL148" i="1" s="1"/>
  <c r="BM113" i="1"/>
  <c r="BN113" i="1"/>
  <c r="BO113" i="1"/>
  <c r="BP113" i="1"/>
  <c r="BQ113" i="1"/>
  <c r="BR113" i="1"/>
  <c r="BS113" i="1"/>
  <c r="BT113" i="1"/>
  <c r="BU113" i="1"/>
  <c r="BV113" i="1"/>
  <c r="BW113" i="1"/>
  <c r="BX113" i="1"/>
  <c r="BZ113" i="1"/>
  <c r="CB113" i="1"/>
  <c r="CC113" i="1"/>
  <c r="DB113" i="1" s="1"/>
  <c r="CD113" i="1"/>
  <c r="DD113" i="1"/>
  <c r="DE113" i="1"/>
  <c r="DG113" i="1"/>
  <c r="DH113" i="1"/>
  <c r="DI113" i="1"/>
  <c r="DJ113" i="1"/>
  <c r="DK113" i="1"/>
  <c r="DL113" i="1"/>
  <c r="DM113" i="1"/>
  <c r="DN113" i="1"/>
  <c r="DO113" i="1"/>
  <c r="DP113" i="1"/>
  <c r="DQ113" i="1"/>
  <c r="DR113" i="1"/>
  <c r="DS113" i="1"/>
  <c r="DT113" i="1"/>
  <c r="DU113" i="1"/>
  <c r="DV113" i="1"/>
  <c r="DW113" i="1"/>
  <c r="DX113" i="1"/>
  <c r="DZ113" i="1"/>
  <c r="G114" i="1"/>
  <c r="AZ114" i="1"/>
  <c r="AF114" i="1" s="1"/>
  <c r="AE114" i="1" s="1"/>
  <c r="BD114" i="1" s="1"/>
  <c r="BF114" i="1"/>
  <c r="BG114" i="1"/>
  <c r="BH114" i="1"/>
  <c r="BI114" i="1"/>
  <c r="BJ114" i="1"/>
  <c r="BK114" i="1"/>
  <c r="BL114" i="1"/>
  <c r="BM114" i="1"/>
  <c r="BN114" i="1"/>
  <c r="BO114" i="1"/>
  <c r="BP114" i="1"/>
  <c r="BQ114" i="1"/>
  <c r="BR114" i="1"/>
  <c r="BS114" i="1"/>
  <c r="BT114" i="1"/>
  <c r="BU114" i="1"/>
  <c r="BV114" i="1"/>
  <c r="BW114" i="1"/>
  <c r="BX114" i="1"/>
  <c r="BZ114" i="1"/>
  <c r="CB114" i="1"/>
  <c r="CD114" i="1"/>
  <c r="DD114" i="1"/>
  <c r="DE114" i="1"/>
  <c r="DG114" i="1"/>
  <c r="DH114" i="1"/>
  <c r="DI114" i="1"/>
  <c r="DJ114" i="1"/>
  <c r="DK114" i="1"/>
  <c r="DK121" i="1" s="1"/>
  <c r="DL114" i="1"/>
  <c r="DM114" i="1"/>
  <c r="DN114" i="1"/>
  <c r="DO114" i="1"/>
  <c r="DP114" i="1"/>
  <c r="DQ114" i="1"/>
  <c r="DR114" i="1"/>
  <c r="DS114" i="1"/>
  <c r="DT114" i="1"/>
  <c r="DU114" i="1"/>
  <c r="DV114" i="1"/>
  <c r="DW114" i="1"/>
  <c r="DX114" i="1"/>
  <c r="DZ114" i="1"/>
  <c r="G115" i="1"/>
  <c r="AZ115" i="1"/>
  <c r="BF115" i="1"/>
  <c r="BG115" i="1"/>
  <c r="BH115" i="1"/>
  <c r="BI115" i="1"/>
  <c r="BJ115" i="1"/>
  <c r="BK115" i="1"/>
  <c r="BL115" i="1"/>
  <c r="BM115" i="1"/>
  <c r="BN115" i="1"/>
  <c r="BO115" i="1"/>
  <c r="BP115" i="1"/>
  <c r="BQ115" i="1"/>
  <c r="BR115" i="1"/>
  <c r="BS115" i="1"/>
  <c r="BT115" i="1"/>
  <c r="BU115" i="1"/>
  <c r="BV115" i="1"/>
  <c r="BW115" i="1"/>
  <c r="BX115" i="1"/>
  <c r="BZ115" i="1"/>
  <c r="CB115" i="1"/>
  <c r="CX115" i="1"/>
  <c r="DD115" i="1"/>
  <c r="DE115" i="1"/>
  <c r="DG115" i="1"/>
  <c r="DH115" i="1"/>
  <c r="DI115" i="1"/>
  <c r="DJ115" i="1"/>
  <c r="DK115" i="1"/>
  <c r="DK148" i="1" s="1"/>
  <c r="DL115" i="1"/>
  <c r="DM115" i="1"/>
  <c r="DN115" i="1"/>
  <c r="DO115" i="1"/>
  <c r="DP115" i="1"/>
  <c r="DQ115" i="1"/>
  <c r="DR115" i="1"/>
  <c r="DS115" i="1"/>
  <c r="DT115" i="1"/>
  <c r="DU115" i="1"/>
  <c r="DV115" i="1"/>
  <c r="DX115" i="1"/>
  <c r="DZ115" i="1"/>
  <c r="EB115" i="1"/>
  <c r="G116" i="1"/>
  <c r="EB116" i="1" s="1"/>
  <c r="AG116" i="1"/>
  <c r="BF116" i="1" s="1"/>
  <c r="AZ116" i="1"/>
  <c r="BG116" i="1"/>
  <c r="BH116" i="1"/>
  <c r="BI116" i="1"/>
  <c r="BJ116" i="1"/>
  <c r="BK116" i="1"/>
  <c r="BL116" i="1"/>
  <c r="BM116" i="1"/>
  <c r="BN116" i="1"/>
  <c r="BO116" i="1"/>
  <c r="BP116" i="1"/>
  <c r="BQ116" i="1"/>
  <c r="BR116" i="1"/>
  <c r="BS116" i="1"/>
  <c r="BT116" i="1"/>
  <c r="BU116" i="1"/>
  <c r="BV116" i="1"/>
  <c r="BW116" i="1"/>
  <c r="BX116" i="1"/>
  <c r="BY116" i="1"/>
  <c r="BZ116" i="1"/>
  <c r="CB116" i="1"/>
  <c r="CE116" i="1"/>
  <c r="DD116" i="1" s="1"/>
  <c r="CX116" i="1"/>
  <c r="DE116" i="1"/>
  <c r="DF116" i="1"/>
  <c r="DG116" i="1"/>
  <c r="DH116" i="1"/>
  <c r="DI116" i="1"/>
  <c r="DJ116" i="1"/>
  <c r="DK116" i="1"/>
  <c r="DL116" i="1"/>
  <c r="DM116" i="1"/>
  <c r="DN116" i="1"/>
  <c r="DO116" i="1"/>
  <c r="DP116" i="1"/>
  <c r="DQ116" i="1"/>
  <c r="DR116" i="1"/>
  <c r="DS116" i="1"/>
  <c r="DT116" i="1"/>
  <c r="DU116" i="1"/>
  <c r="DV116" i="1"/>
  <c r="DX116" i="1"/>
  <c r="DX148" i="1" s="1"/>
  <c r="DZ116" i="1"/>
  <c r="G117" i="1"/>
  <c r="AJ117" i="1"/>
  <c r="AF117" i="1" s="1"/>
  <c r="BJ117" i="1"/>
  <c r="BK117" i="1"/>
  <c r="BL117" i="1"/>
  <c r="BM117" i="1"/>
  <c r="BN117" i="1"/>
  <c r="BO117" i="1"/>
  <c r="BP117" i="1"/>
  <c r="BQ117" i="1"/>
  <c r="BR117" i="1"/>
  <c r="BS117" i="1"/>
  <c r="BT117" i="1"/>
  <c r="BU117" i="1"/>
  <c r="BV117" i="1"/>
  <c r="BW117" i="1"/>
  <c r="BX117" i="1"/>
  <c r="BY117" i="1"/>
  <c r="BZ117" i="1"/>
  <c r="CB117" i="1"/>
  <c r="CH117" i="1"/>
  <c r="CD117" i="1" s="1"/>
  <c r="CC117" i="1" s="1"/>
  <c r="DB117" i="1" s="1"/>
  <c r="DG117" i="1"/>
  <c r="EB117" i="1"/>
  <c r="G118" i="1"/>
  <c r="AG118" i="1"/>
  <c r="BF118" i="1" s="1"/>
  <c r="AZ118" i="1"/>
  <c r="BG118" i="1"/>
  <c r="BH118" i="1"/>
  <c r="BI118" i="1"/>
  <c r="BJ118" i="1"/>
  <c r="BK118" i="1"/>
  <c r="BL118" i="1"/>
  <c r="BM118" i="1"/>
  <c r="BN118" i="1"/>
  <c r="BO118" i="1"/>
  <c r="BP118" i="1"/>
  <c r="BQ118" i="1"/>
  <c r="BR118" i="1"/>
  <c r="BS118" i="1"/>
  <c r="BT118" i="1"/>
  <c r="BU118" i="1"/>
  <c r="BV118" i="1"/>
  <c r="BW118" i="1"/>
  <c r="BX118" i="1"/>
  <c r="BZ118" i="1"/>
  <c r="CB118" i="1"/>
  <c r="CE118" i="1"/>
  <c r="CX118" i="1"/>
  <c r="DW118" i="1" s="1"/>
  <c r="DE118" i="1"/>
  <c r="DG118" i="1"/>
  <c r="DH118" i="1"/>
  <c r="DI118" i="1"/>
  <c r="DJ118" i="1"/>
  <c r="DK118" i="1"/>
  <c r="DL118" i="1"/>
  <c r="DM118" i="1"/>
  <c r="DN118" i="1"/>
  <c r="DO118" i="1"/>
  <c r="DP118" i="1"/>
  <c r="DQ118" i="1"/>
  <c r="DR118" i="1"/>
  <c r="DS118" i="1"/>
  <c r="DT118" i="1"/>
  <c r="DU118" i="1"/>
  <c r="DV118" i="1"/>
  <c r="DX118" i="1"/>
  <c r="DZ118" i="1"/>
  <c r="EB118" i="1"/>
  <c r="G119" i="1"/>
  <c r="AG119" i="1"/>
  <c r="BF119" i="1" s="1"/>
  <c r="AZ119" i="1"/>
  <c r="BG119" i="1"/>
  <c r="BH119" i="1"/>
  <c r="BH148" i="1" s="1"/>
  <c r="BI119" i="1"/>
  <c r="BJ119" i="1"/>
  <c r="BK119" i="1"/>
  <c r="BL119" i="1"/>
  <c r="BM119" i="1"/>
  <c r="BN119" i="1"/>
  <c r="BO119" i="1"/>
  <c r="BP119" i="1"/>
  <c r="BP148" i="1" s="1"/>
  <c r="BQ119" i="1"/>
  <c r="BR119" i="1"/>
  <c r="BS119" i="1"/>
  <c r="BT119" i="1"/>
  <c r="BU119" i="1"/>
  <c r="BV119" i="1"/>
  <c r="BW119" i="1"/>
  <c r="BX119" i="1"/>
  <c r="BZ119" i="1"/>
  <c r="CB119" i="1"/>
  <c r="CE119" i="1"/>
  <c r="DD119" i="1" s="1"/>
  <c r="CX119" i="1"/>
  <c r="DW119" i="1" s="1"/>
  <c r="DE119" i="1"/>
  <c r="DG119" i="1"/>
  <c r="DH119" i="1"/>
  <c r="DI119" i="1"/>
  <c r="DJ119" i="1"/>
  <c r="DK119" i="1"/>
  <c r="DL119" i="1"/>
  <c r="DM119" i="1"/>
  <c r="DN119" i="1"/>
  <c r="DO119" i="1"/>
  <c r="DP119" i="1"/>
  <c r="DP148" i="1" s="1"/>
  <c r="DQ119" i="1"/>
  <c r="DR119" i="1"/>
  <c r="DS119" i="1"/>
  <c r="DT119" i="1"/>
  <c r="DU119" i="1"/>
  <c r="DV119" i="1"/>
  <c r="DX119" i="1"/>
  <c r="DZ119" i="1"/>
  <c r="EB119" i="1"/>
  <c r="G120" i="1"/>
  <c r="AG120" i="1"/>
  <c r="AZ120" i="1"/>
  <c r="BY120" i="1" s="1"/>
  <c r="BG120" i="1"/>
  <c r="BH120" i="1"/>
  <c r="BI120" i="1"/>
  <c r="BJ120" i="1"/>
  <c r="BK120" i="1"/>
  <c r="BL120" i="1"/>
  <c r="BM120" i="1"/>
  <c r="BN120" i="1"/>
  <c r="BO120" i="1"/>
  <c r="BP120" i="1"/>
  <c r="BQ120" i="1"/>
  <c r="BR120" i="1"/>
  <c r="BS120" i="1"/>
  <c r="BT120" i="1"/>
  <c r="BU120" i="1"/>
  <c r="BV120" i="1"/>
  <c r="BW120" i="1"/>
  <c r="BX120" i="1"/>
  <c r="BZ120" i="1"/>
  <c r="CB120" i="1"/>
  <c r="CE120" i="1"/>
  <c r="DD120" i="1" s="1"/>
  <c r="CX120" i="1"/>
  <c r="DW120" i="1" s="1"/>
  <c r="DE120" i="1"/>
  <c r="DG120" i="1"/>
  <c r="DH120" i="1"/>
  <c r="DI120" i="1"/>
  <c r="DJ120" i="1"/>
  <c r="DK120" i="1"/>
  <c r="DL120" i="1"/>
  <c r="DM120" i="1"/>
  <c r="DN120" i="1"/>
  <c r="DO120" i="1"/>
  <c r="DP120" i="1"/>
  <c r="DQ120" i="1"/>
  <c r="DR120" i="1"/>
  <c r="DS120" i="1"/>
  <c r="DT120" i="1"/>
  <c r="DU120" i="1"/>
  <c r="DV120" i="1"/>
  <c r="DX120" i="1"/>
  <c r="DZ120" i="1"/>
  <c r="EB120" i="1"/>
  <c r="H121" i="1"/>
  <c r="I121" i="1"/>
  <c r="J121" i="1"/>
  <c r="J144" i="1" s="1"/>
  <c r="K121" i="1"/>
  <c r="K144" i="1" s="1"/>
  <c r="L121" i="1"/>
  <c r="M121" i="1"/>
  <c r="N121" i="1"/>
  <c r="N144" i="1" s="1"/>
  <c r="O121" i="1"/>
  <c r="P121" i="1"/>
  <c r="Q121" i="1"/>
  <c r="R121" i="1"/>
  <c r="S121" i="1"/>
  <c r="S144" i="1" s="1"/>
  <c r="T121" i="1"/>
  <c r="U121" i="1"/>
  <c r="V121" i="1"/>
  <c r="W121" i="1"/>
  <c r="X121" i="1"/>
  <c r="Y121" i="1"/>
  <c r="Z121" i="1"/>
  <c r="AA121" i="1"/>
  <c r="AA144" i="1" s="1"/>
  <c r="AB121" i="1"/>
  <c r="AC121" i="1"/>
  <c r="AD121" i="1"/>
  <c r="AI121" i="1"/>
  <c r="AK121" i="1"/>
  <c r="AL121" i="1"/>
  <c r="AL144" i="1" s="1"/>
  <c r="AM121" i="1"/>
  <c r="AN121" i="1"/>
  <c r="AO121" i="1"/>
  <c r="AP121" i="1"/>
  <c r="AQ121" i="1"/>
  <c r="AR121" i="1"/>
  <c r="AS121" i="1"/>
  <c r="AT121" i="1"/>
  <c r="AU121" i="1"/>
  <c r="AV121" i="1"/>
  <c r="BA121" i="1"/>
  <c r="BB121" i="1"/>
  <c r="BL121" i="1"/>
  <c r="BM121" i="1"/>
  <c r="BU121" i="1"/>
  <c r="CA121" i="1"/>
  <c r="CG121" i="1"/>
  <c r="CH121" i="1"/>
  <c r="CH144" i="1" s="1"/>
  <c r="CI121" i="1"/>
  <c r="CJ121" i="1"/>
  <c r="CJ144" i="1" s="1"/>
  <c r="CK121" i="1"/>
  <c r="CL121" i="1"/>
  <c r="CM121" i="1"/>
  <c r="CN121" i="1"/>
  <c r="CO121" i="1"/>
  <c r="CP121" i="1"/>
  <c r="CQ121" i="1"/>
  <c r="CR121" i="1"/>
  <c r="CS121" i="1"/>
  <c r="CT121" i="1"/>
  <c r="CU121" i="1"/>
  <c r="CY121" i="1"/>
  <c r="CZ121" i="1"/>
  <c r="DF121" i="1"/>
  <c r="DQ121" i="1"/>
  <c r="DY121" i="1"/>
  <c r="AD122" i="1"/>
  <c r="AF122" i="1"/>
  <c r="BF122" i="1"/>
  <c r="BG122" i="1"/>
  <c r="BI122" i="1"/>
  <c r="BJ122" i="1"/>
  <c r="BK122" i="1"/>
  <c r="BL122" i="1"/>
  <c r="BM122" i="1"/>
  <c r="BN122" i="1"/>
  <c r="BO122" i="1"/>
  <c r="BP122" i="1"/>
  <c r="BQ122" i="1"/>
  <c r="BR122" i="1"/>
  <c r="BS122" i="1"/>
  <c r="BT122" i="1"/>
  <c r="BU122" i="1"/>
  <c r="BV122" i="1"/>
  <c r="BW122" i="1"/>
  <c r="BX122" i="1"/>
  <c r="BY122" i="1"/>
  <c r="BZ122" i="1"/>
  <c r="CD122" i="1"/>
  <c r="DD122" i="1"/>
  <c r="DE122" i="1"/>
  <c r="DG122" i="1"/>
  <c r="DH122" i="1"/>
  <c r="DH151" i="1" s="1"/>
  <c r="DI122" i="1"/>
  <c r="DJ122" i="1"/>
  <c r="DK122" i="1"/>
  <c r="DL122" i="1"/>
  <c r="DM122" i="1"/>
  <c r="DN122" i="1"/>
  <c r="DO122" i="1"/>
  <c r="DP122" i="1"/>
  <c r="DP151" i="1" s="1"/>
  <c r="DQ122" i="1"/>
  <c r="DR122" i="1"/>
  <c r="DS122" i="1"/>
  <c r="DT122" i="1"/>
  <c r="DU122" i="1"/>
  <c r="DV122" i="1"/>
  <c r="DW122" i="1"/>
  <c r="DX122" i="1"/>
  <c r="DX151" i="1" s="1"/>
  <c r="O123" i="1"/>
  <c r="P123" i="1"/>
  <c r="Q123" i="1"/>
  <c r="R123" i="1"/>
  <c r="T123" i="1"/>
  <c r="V123" i="1"/>
  <c r="BT123" i="1" s="1"/>
  <c r="AN123" i="1"/>
  <c r="AO123" i="1"/>
  <c r="AP123" i="1"/>
  <c r="AQ123" i="1"/>
  <c r="AU123" i="1"/>
  <c r="BF123" i="1"/>
  <c r="BG123" i="1"/>
  <c r="BI123" i="1"/>
  <c r="BJ123" i="1"/>
  <c r="BK123" i="1"/>
  <c r="BK146" i="1" s="1"/>
  <c r="BL123" i="1"/>
  <c r="BQ123" i="1"/>
  <c r="BR123" i="1"/>
  <c r="BS123" i="1"/>
  <c r="BU123" i="1"/>
  <c r="BV123" i="1"/>
  <c r="BW123" i="1"/>
  <c r="BX123" i="1"/>
  <c r="BY123" i="1"/>
  <c r="BY146" i="1" s="1"/>
  <c r="BZ123" i="1"/>
  <c r="CB123" i="1"/>
  <c r="CL123" i="1"/>
  <c r="CM123" i="1"/>
  <c r="CM146" i="1" s="1"/>
  <c r="CN123" i="1"/>
  <c r="CO123" i="1"/>
  <c r="CS123" i="1"/>
  <c r="DD123" i="1"/>
  <c r="DE123" i="1"/>
  <c r="DG123" i="1"/>
  <c r="DH123" i="1"/>
  <c r="DH146" i="1" s="1"/>
  <c r="DI123" i="1"/>
  <c r="DI146" i="1" s="1"/>
  <c r="DJ123" i="1"/>
  <c r="DK123" i="1"/>
  <c r="DK146" i="1" s="1"/>
  <c r="DO123" i="1"/>
  <c r="DP123" i="1"/>
  <c r="DP146" i="1" s="1"/>
  <c r="DQ123" i="1"/>
  <c r="DS123" i="1"/>
  <c r="DT123" i="1"/>
  <c r="DU123" i="1"/>
  <c r="DV123" i="1"/>
  <c r="DW123" i="1"/>
  <c r="DX123" i="1"/>
  <c r="DX146" i="1" s="1"/>
  <c r="DZ123" i="1"/>
  <c r="L124" i="1"/>
  <c r="DH124" i="1" s="1"/>
  <c r="O124" i="1"/>
  <c r="P124" i="1"/>
  <c r="Q124" i="1"/>
  <c r="R124" i="1"/>
  <c r="V124" i="1"/>
  <c r="Y124" i="1"/>
  <c r="AC124" i="1"/>
  <c r="AD124" i="1"/>
  <c r="AN124" i="1"/>
  <c r="AO124" i="1"/>
  <c r="AP124" i="1"/>
  <c r="BO124" i="1" s="1"/>
  <c r="AQ124" i="1"/>
  <c r="BP124" i="1" s="1"/>
  <c r="AT124" i="1"/>
  <c r="BS124" i="1" s="1"/>
  <c r="BS146" i="1" s="1"/>
  <c r="AU124" i="1"/>
  <c r="AV124" i="1"/>
  <c r="AX124" i="1"/>
  <c r="BW124" i="1" s="1"/>
  <c r="BB124" i="1"/>
  <c r="BB146" i="1" s="1"/>
  <c r="BC124" i="1"/>
  <c r="BF124" i="1"/>
  <c r="BG124" i="1"/>
  <c r="BI124" i="1"/>
  <c r="BJ124" i="1"/>
  <c r="BK124" i="1"/>
  <c r="BL124" i="1"/>
  <c r="BM124" i="1"/>
  <c r="BQ124" i="1"/>
  <c r="BR124" i="1"/>
  <c r="BU124" i="1"/>
  <c r="BV124" i="1"/>
  <c r="BX124" i="1"/>
  <c r="BY124" i="1"/>
  <c r="BZ124" i="1"/>
  <c r="CL124" i="1"/>
  <c r="CM124" i="1"/>
  <c r="CN124" i="1"/>
  <c r="CO124" i="1"/>
  <c r="CR124" i="1"/>
  <c r="CR142" i="1" s="1"/>
  <c r="CT124" i="1"/>
  <c r="DS124" i="1" s="1"/>
  <c r="DS146" i="1" s="1"/>
  <c r="CV124" i="1"/>
  <c r="DU124" i="1" s="1"/>
  <c r="DA124" i="1"/>
  <c r="DA146" i="1" s="1"/>
  <c r="DD124" i="1"/>
  <c r="DE124" i="1"/>
  <c r="DF124" i="1"/>
  <c r="DG124" i="1"/>
  <c r="DI124" i="1"/>
  <c r="DJ124" i="1"/>
  <c r="DK124" i="1"/>
  <c r="DO124" i="1"/>
  <c r="DO146" i="1" s="1"/>
  <c r="DP124" i="1"/>
  <c r="DT124" i="1"/>
  <c r="DT146" i="1" s="1"/>
  <c r="DV124" i="1"/>
  <c r="DW124" i="1"/>
  <c r="DX124" i="1"/>
  <c r="DZ124" i="1"/>
  <c r="O125" i="1"/>
  <c r="P125" i="1"/>
  <c r="Q125" i="1"/>
  <c r="R125" i="1"/>
  <c r="R147" i="1" s="1"/>
  <c r="V125" i="1"/>
  <c r="BT125" i="1" s="1"/>
  <c r="AC125" i="1"/>
  <c r="AD125" i="1"/>
  <c r="CB125" i="1" s="1"/>
  <c r="AN125" i="1"/>
  <c r="AO125" i="1"/>
  <c r="AO147" i="1" s="1"/>
  <c r="BB125" i="1"/>
  <c r="CA125" i="1" s="1"/>
  <c r="BC125" i="1"/>
  <c r="BF125" i="1"/>
  <c r="BG125" i="1"/>
  <c r="BH125" i="1"/>
  <c r="BI125" i="1"/>
  <c r="BJ125" i="1"/>
  <c r="BK125" i="1"/>
  <c r="BK147" i="1" s="1"/>
  <c r="BL125" i="1"/>
  <c r="BO125" i="1"/>
  <c r="BP125" i="1"/>
  <c r="BQ125" i="1"/>
  <c r="BR125" i="1"/>
  <c r="BS125" i="1"/>
  <c r="BU125" i="1"/>
  <c r="BV125" i="1"/>
  <c r="BW125" i="1"/>
  <c r="BX125" i="1"/>
  <c r="BY125" i="1"/>
  <c r="BZ125" i="1"/>
  <c r="CL125" i="1"/>
  <c r="CZ125" i="1"/>
  <c r="CZ142" i="1" s="1"/>
  <c r="DA125" i="1"/>
  <c r="DZ125" i="1" s="1"/>
  <c r="DD125" i="1"/>
  <c r="DE125" i="1"/>
  <c r="DF125" i="1"/>
  <c r="DG125" i="1"/>
  <c r="DH125" i="1"/>
  <c r="DI125" i="1"/>
  <c r="DJ125" i="1"/>
  <c r="DM125" i="1"/>
  <c r="DN125" i="1"/>
  <c r="DO125" i="1"/>
  <c r="DP125" i="1"/>
  <c r="DQ125" i="1"/>
  <c r="DR125" i="1"/>
  <c r="DS125" i="1"/>
  <c r="DT125" i="1"/>
  <c r="DU125" i="1"/>
  <c r="DV125" i="1"/>
  <c r="DW125" i="1"/>
  <c r="DX125" i="1"/>
  <c r="G126" i="1"/>
  <c r="EB126" i="1" s="1"/>
  <c r="O126" i="1"/>
  <c r="P126" i="1"/>
  <c r="Q126" i="1"/>
  <c r="R126" i="1"/>
  <c r="V126" i="1"/>
  <c r="BT126" i="1" s="1"/>
  <c r="AC126" i="1"/>
  <c r="AD126" i="1"/>
  <c r="AN126" i="1"/>
  <c r="AO126" i="1"/>
  <c r="AP126" i="1"/>
  <c r="AQ126" i="1"/>
  <c r="BP126" i="1" s="1"/>
  <c r="BP147" i="1" s="1"/>
  <c r="AU126" i="1"/>
  <c r="AV126" i="1"/>
  <c r="AX126" i="1"/>
  <c r="BB126" i="1"/>
  <c r="BC126" i="1"/>
  <c r="BF126" i="1"/>
  <c r="BG126" i="1"/>
  <c r="BH126" i="1"/>
  <c r="BI126" i="1"/>
  <c r="BJ126" i="1"/>
  <c r="BK126" i="1"/>
  <c r="BL126" i="1"/>
  <c r="BQ126" i="1"/>
  <c r="BR126" i="1"/>
  <c r="BS126" i="1"/>
  <c r="BV126" i="1"/>
  <c r="BX126" i="1"/>
  <c r="BY126" i="1"/>
  <c r="BZ126" i="1"/>
  <c r="CA126" i="1"/>
  <c r="CL126" i="1"/>
  <c r="CM126" i="1"/>
  <c r="CN126" i="1"/>
  <c r="CN147" i="1" s="1"/>
  <c r="CO126" i="1"/>
  <c r="CO147" i="1" s="1"/>
  <c r="CS126" i="1"/>
  <c r="CT126" i="1"/>
  <c r="DS126" i="1" s="1"/>
  <c r="CV126" i="1"/>
  <c r="DU126" i="1" s="1"/>
  <c r="CZ126" i="1"/>
  <c r="DY126" i="1" s="1"/>
  <c r="DA126" i="1"/>
  <c r="DD126" i="1"/>
  <c r="DE126" i="1"/>
  <c r="DF126" i="1"/>
  <c r="DG126" i="1"/>
  <c r="DH126" i="1"/>
  <c r="DI126" i="1"/>
  <c r="DJ126" i="1"/>
  <c r="DK126" i="1"/>
  <c r="DO126" i="1"/>
  <c r="DP126" i="1"/>
  <c r="DQ126" i="1"/>
  <c r="DT126" i="1"/>
  <c r="DV126" i="1"/>
  <c r="DW126" i="1"/>
  <c r="DW147" i="1" s="1"/>
  <c r="DX126" i="1"/>
  <c r="DZ126" i="1"/>
  <c r="AD127" i="1"/>
  <c r="G127" i="1" s="1"/>
  <c r="AW127" i="1"/>
  <c r="BC127" i="1"/>
  <c r="CB127" i="1" s="1"/>
  <c r="BF127" i="1"/>
  <c r="BG127" i="1"/>
  <c r="BH127" i="1"/>
  <c r="BI127" i="1"/>
  <c r="BJ127" i="1"/>
  <c r="BK127" i="1"/>
  <c r="BL127" i="1"/>
  <c r="BM127" i="1"/>
  <c r="BN127" i="1"/>
  <c r="BO127" i="1"/>
  <c r="BP127" i="1"/>
  <c r="BQ127" i="1"/>
  <c r="BR127" i="1"/>
  <c r="BS127" i="1"/>
  <c r="BT127" i="1"/>
  <c r="BU127" i="1"/>
  <c r="BW127" i="1"/>
  <c r="BX127" i="1"/>
  <c r="BY127" i="1"/>
  <c r="BZ127" i="1"/>
  <c r="CU127" i="1"/>
  <c r="DA127" i="1"/>
  <c r="DD127" i="1"/>
  <c r="DE127" i="1"/>
  <c r="DF127" i="1"/>
  <c r="DG127" i="1"/>
  <c r="DH127" i="1"/>
  <c r="DI127" i="1"/>
  <c r="DJ127" i="1"/>
  <c r="DJ142" i="1" s="1"/>
  <c r="DK127" i="1"/>
  <c r="DL127" i="1"/>
  <c r="DM127" i="1"/>
  <c r="DN127" i="1"/>
  <c r="DO127" i="1"/>
  <c r="DP127" i="1"/>
  <c r="DQ127" i="1"/>
  <c r="DR127" i="1"/>
  <c r="DS127" i="1"/>
  <c r="DU127" i="1"/>
  <c r="DV127" i="1"/>
  <c r="DW127" i="1"/>
  <c r="DX127" i="1"/>
  <c r="EB127" i="1"/>
  <c r="U128" i="1"/>
  <c r="DQ128" i="1" s="1"/>
  <c r="AD128" i="1"/>
  <c r="AN128" i="1"/>
  <c r="BM128" i="1" s="1"/>
  <c r="AT128" i="1"/>
  <c r="AT147" i="1" s="1"/>
  <c r="BC128" i="1"/>
  <c r="BF128" i="1"/>
  <c r="BG128" i="1"/>
  <c r="BH128" i="1"/>
  <c r="BI128" i="1"/>
  <c r="BJ128" i="1"/>
  <c r="BK128" i="1"/>
  <c r="BL128" i="1"/>
  <c r="BN128" i="1"/>
  <c r="BO128" i="1"/>
  <c r="BP128" i="1"/>
  <c r="BQ128" i="1"/>
  <c r="BQ147" i="1" s="1"/>
  <c r="BR128" i="1"/>
  <c r="BT128" i="1"/>
  <c r="BU128" i="1"/>
  <c r="BV128" i="1"/>
  <c r="BW128" i="1"/>
  <c r="BX128" i="1"/>
  <c r="BY128" i="1"/>
  <c r="BY147" i="1" s="1"/>
  <c r="BZ128" i="1"/>
  <c r="CL128" i="1"/>
  <c r="DA128" i="1"/>
  <c r="DD128" i="1"/>
  <c r="DE128" i="1"/>
  <c r="DF128" i="1"/>
  <c r="DG128" i="1"/>
  <c r="DH128" i="1"/>
  <c r="DI128" i="1"/>
  <c r="DJ128" i="1"/>
  <c r="DL128" i="1"/>
  <c r="DM128" i="1"/>
  <c r="DN128" i="1"/>
  <c r="DO128" i="1"/>
  <c r="DP128" i="1"/>
  <c r="DR128" i="1"/>
  <c r="DS128" i="1"/>
  <c r="DT128" i="1"/>
  <c r="DU128" i="1"/>
  <c r="DV128" i="1"/>
  <c r="DW128" i="1"/>
  <c r="DX128" i="1"/>
  <c r="G129" i="1"/>
  <c r="EB129" i="1" s="1"/>
  <c r="Z129" i="1"/>
  <c r="AH129" i="1"/>
  <c r="BG129" i="1" s="1"/>
  <c r="AW129" i="1"/>
  <c r="BV129" i="1" s="1"/>
  <c r="AX129" i="1"/>
  <c r="AY129" i="1"/>
  <c r="AY142" i="1" s="1"/>
  <c r="BF129" i="1"/>
  <c r="BH129" i="1"/>
  <c r="BI129" i="1"/>
  <c r="BJ129" i="1"/>
  <c r="BK129" i="1"/>
  <c r="BL129" i="1"/>
  <c r="BM129" i="1"/>
  <c r="BN129" i="1"/>
  <c r="BO129" i="1"/>
  <c r="BP129" i="1"/>
  <c r="BQ129" i="1"/>
  <c r="BR129" i="1"/>
  <c r="BS129" i="1"/>
  <c r="BT129" i="1"/>
  <c r="BU129" i="1"/>
  <c r="BW129" i="1"/>
  <c r="BY129" i="1"/>
  <c r="BZ129" i="1"/>
  <c r="CB129" i="1"/>
  <c r="CF129" i="1"/>
  <c r="DE129" i="1" s="1"/>
  <c r="CU129" i="1"/>
  <c r="DT129" i="1" s="1"/>
  <c r="CW129" i="1"/>
  <c r="CW142" i="1" s="1"/>
  <c r="DD129" i="1"/>
  <c r="DF129" i="1"/>
  <c r="DG129" i="1"/>
  <c r="DH129" i="1"/>
  <c r="DI129" i="1"/>
  <c r="DJ129" i="1"/>
  <c r="DK129" i="1"/>
  <c r="DL129" i="1"/>
  <c r="DM129" i="1"/>
  <c r="DN129" i="1"/>
  <c r="DO129" i="1"/>
  <c r="DP129" i="1"/>
  <c r="DQ129" i="1"/>
  <c r="DR129" i="1"/>
  <c r="DS129" i="1"/>
  <c r="DU129" i="1"/>
  <c r="DV129" i="1"/>
  <c r="DW129" i="1"/>
  <c r="DX129" i="1"/>
  <c r="DZ129" i="1"/>
  <c r="G130" i="1"/>
  <c r="AF130" i="1"/>
  <c r="BF130" i="1"/>
  <c r="BG130" i="1"/>
  <c r="BH130" i="1"/>
  <c r="BI130" i="1"/>
  <c r="BJ130" i="1"/>
  <c r="BK130" i="1"/>
  <c r="BL130" i="1"/>
  <c r="BM130" i="1"/>
  <c r="BN130" i="1"/>
  <c r="BO130" i="1"/>
  <c r="BP130" i="1"/>
  <c r="BQ130" i="1"/>
  <c r="BR130" i="1"/>
  <c r="BS130" i="1"/>
  <c r="BT130" i="1"/>
  <c r="BU130" i="1"/>
  <c r="BV130" i="1"/>
  <c r="BW130" i="1"/>
  <c r="BX130" i="1"/>
  <c r="BY130" i="1"/>
  <c r="BZ130" i="1"/>
  <c r="CB130" i="1"/>
  <c r="CC130" i="1"/>
  <c r="CD130" i="1"/>
  <c r="DB130" i="1"/>
  <c r="DD130" i="1"/>
  <c r="DE130" i="1"/>
  <c r="DF130" i="1"/>
  <c r="DG130" i="1"/>
  <c r="DH130" i="1"/>
  <c r="DH147" i="1" s="1"/>
  <c r="DI130" i="1"/>
  <c r="DJ130" i="1"/>
  <c r="DK130" i="1"/>
  <c r="DL130" i="1"/>
  <c r="DM130" i="1"/>
  <c r="DN130" i="1"/>
  <c r="DO130" i="1"/>
  <c r="DP130" i="1"/>
  <c r="DQ130" i="1"/>
  <c r="DR130" i="1"/>
  <c r="DS130" i="1"/>
  <c r="DT130" i="1"/>
  <c r="DU130" i="1"/>
  <c r="DV130" i="1"/>
  <c r="DW130" i="1"/>
  <c r="DX130" i="1"/>
  <c r="DZ130" i="1"/>
  <c r="EB130" i="1"/>
  <c r="G131" i="1"/>
  <c r="EB131" i="1" s="1"/>
  <c r="AJ131" i="1"/>
  <c r="BI131" i="1"/>
  <c r="BE131" i="1" s="1"/>
  <c r="CD131" i="1"/>
  <c r="DC131" i="1"/>
  <c r="DG131" i="1"/>
  <c r="G132" i="1"/>
  <c r="AJ132" i="1"/>
  <c r="AF132" i="1" s="1"/>
  <c r="CC132" i="1"/>
  <c r="CD132" i="1"/>
  <c r="DB132" i="1"/>
  <c r="DG132" i="1"/>
  <c r="DC132" i="1" s="1"/>
  <c r="ED132" i="1" s="1"/>
  <c r="EB132" i="1"/>
  <c r="G133" i="1"/>
  <c r="EB133" i="1" s="1"/>
  <c r="AH133" i="1"/>
  <c r="AX133" i="1"/>
  <c r="BW133" i="1" s="1"/>
  <c r="BF133" i="1"/>
  <c r="BH133" i="1"/>
  <c r="BI133" i="1"/>
  <c r="BJ133" i="1"/>
  <c r="BK133" i="1"/>
  <c r="BL133" i="1"/>
  <c r="BM133" i="1"/>
  <c r="BN133" i="1"/>
  <c r="BO133" i="1"/>
  <c r="BP133" i="1"/>
  <c r="BQ133" i="1"/>
  <c r="BR133" i="1"/>
  <c r="BS133" i="1"/>
  <c r="BT133" i="1"/>
  <c r="BU133" i="1"/>
  <c r="BV133" i="1"/>
  <c r="BX133" i="1"/>
  <c r="BY133" i="1"/>
  <c r="BZ133" i="1"/>
  <c r="CB133" i="1"/>
  <c r="CF133" i="1"/>
  <c r="CV133" i="1"/>
  <c r="DU133" i="1" s="1"/>
  <c r="DD133" i="1"/>
  <c r="DF133" i="1"/>
  <c r="DG133" i="1"/>
  <c r="DH133" i="1"/>
  <c r="DI133" i="1"/>
  <c r="DJ133" i="1"/>
  <c r="DK133" i="1"/>
  <c r="DL133" i="1"/>
  <c r="DM133" i="1"/>
  <c r="DN133" i="1"/>
  <c r="DO133" i="1"/>
  <c r="DP133" i="1"/>
  <c r="DQ133" i="1"/>
  <c r="DR133" i="1"/>
  <c r="DS133" i="1"/>
  <c r="DT133" i="1"/>
  <c r="DV133" i="1"/>
  <c r="DW133" i="1"/>
  <c r="DX133" i="1"/>
  <c r="DZ133" i="1"/>
  <c r="G134" i="1"/>
  <c r="EB134" i="1" s="1"/>
  <c r="AH134" i="1"/>
  <c r="BG134" i="1" s="1"/>
  <c r="AX134" i="1"/>
  <c r="BW134" i="1" s="1"/>
  <c r="BF134" i="1"/>
  <c r="BH134" i="1"/>
  <c r="BI134" i="1"/>
  <c r="BJ134" i="1"/>
  <c r="BK134" i="1"/>
  <c r="BL134" i="1"/>
  <c r="BM134" i="1"/>
  <c r="BN134" i="1"/>
  <c r="BO134" i="1"/>
  <c r="BP134" i="1"/>
  <c r="BQ134" i="1"/>
  <c r="BR134" i="1"/>
  <c r="BS134" i="1"/>
  <c r="BT134" i="1"/>
  <c r="BU134" i="1"/>
  <c r="BV134" i="1"/>
  <c r="BX134" i="1"/>
  <c r="BY134" i="1"/>
  <c r="BZ134" i="1"/>
  <c r="CB134" i="1"/>
  <c r="CF134" i="1"/>
  <c r="DE134" i="1" s="1"/>
  <c r="CV134" i="1"/>
  <c r="DU134" i="1" s="1"/>
  <c r="DD134" i="1"/>
  <c r="DF134" i="1"/>
  <c r="DG134" i="1"/>
  <c r="DH134" i="1"/>
  <c r="DI134" i="1"/>
  <c r="DJ134" i="1"/>
  <c r="DK134" i="1"/>
  <c r="DL134" i="1"/>
  <c r="DM134" i="1"/>
  <c r="DN134" i="1"/>
  <c r="DO134" i="1"/>
  <c r="DP134" i="1"/>
  <c r="DQ134" i="1"/>
  <c r="DR134" i="1"/>
  <c r="DS134" i="1"/>
  <c r="DT134" i="1"/>
  <c r="DV134" i="1"/>
  <c r="DW134" i="1"/>
  <c r="DX134" i="1"/>
  <c r="DZ134" i="1"/>
  <c r="G135" i="1"/>
  <c r="EB135" i="1" s="1"/>
  <c r="AH135" i="1"/>
  <c r="BG135" i="1" s="1"/>
  <c r="AX135" i="1"/>
  <c r="BW135" i="1" s="1"/>
  <c r="BF135" i="1"/>
  <c r="BH135" i="1"/>
  <c r="BI135" i="1"/>
  <c r="BJ135" i="1"/>
  <c r="BK135" i="1"/>
  <c r="BL135" i="1"/>
  <c r="BM135" i="1"/>
  <c r="BN135" i="1"/>
  <c r="BO135" i="1"/>
  <c r="BP135" i="1"/>
  <c r="BQ135" i="1"/>
  <c r="BR135" i="1"/>
  <c r="BS135" i="1"/>
  <c r="BT135" i="1"/>
  <c r="BU135" i="1"/>
  <c r="BV135" i="1"/>
  <c r="BX135" i="1"/>
  <c r="BY135" i="1"/>
  <c r="BZ135" i="1"/>
  <c r="CB135" i="1"/>
  <c r="CF135" i="1"/>
  <c r="DE135" i="1" s="1"/>
  <c r="CV135" i="1"/>
  <c r="DD135" i="1"/>
  <c r="DF135" i="1"/>
  <c r="DG135" i="1"/>
  <c r="DH135" i="1"/>
  <c r="DI135" i="1"/>
  <c r="DJ135" i="1"/>
  <c r="DK135" i="1"/>
  <c r="DL135" i="1"/>
  <c r="DM135" i="1"/>
  <c r="DN135" i="1"/>
  <c r="DO135" i="1"/>
  <c r="DP135" i="1"/>
  <c r="DQ135" i="1"/>
  <c r="DR135" i="1"/>
  <c r="DS135" i="1"/>
  <c r="DT135" i="1"/>
  <c r="DV135" i="1"/>
  <c r="DW135" i="1"/>
  <c r="DX135" i="1"/>
  <c r="DZ135" i="1"/>
  <c r="G136" i="1"/>
  <c r="EB136" i="1" s="1"/>
  <c r="AX136" i="1"/>
  <c r="BF136" i="1"/>
  <c r="BG136" i="1"/>
  <c r="BH136" i="1"/>
  <c r="BI136" i="1"/>
  <c r="BI151" i="1" s="1"/>
  <c r="BJ136" i="1"/>
  <c r="BK136" i="1"/>
  <c r="BL136" i="1"/>
  <c r="BM136" i="1"/>
  <c r="BN136" i="1"/>
  <c r="BO136" i="1"/>
  <c r="BP136" i="1"/>
  <c r="BQ136" i="1"/>
  <c r="BQ151" i="1" s="1"/>
  <c r="BR136" i="1"/>
  <c r="BS136" i="1"/>
  <c r="BT136" i="1"/>
  <c r="BU136" i="1"/>
  <c r="BV136" i="1"/>
  <c r="BX136" i="1"/>
  <c r="BY136" i="1"/>
  <c r="BZ136" i="1"/>
  <c r="CB136" i="1"/>
  <c r="CV136" i="1"/>
  <c r="DD136" i="1"/>
  <c r="DE136" i="1"/>
  <c r="DF136" i="1"/>
  <c r="DG136" i="1"/>
  <c r="DH136" i="1"/>
  <c r="DI136" i="1"/>
  <c r="DJ136" i="1"/>
  <c r="DK136" i="1"/>
  <c r="DL136" i="1"/>
  <c r="DM136" i="1"/>
  <c r="DN136" i="1"/>
  <c r="DO136" i="1"/>
  <c r="DP136" i="1"/>
  <c r="DQ136" i="1"/>
  <c r="DR136" i="1"/>
  <c r="DS136" i="1"/>
  <c r="DT136" i="1"/>
  <c r="DV136" i="1"/>
  <c r="DW136" i="1"/>
  <c r="DX136" i="1"/>
  <c r="DZ136" i="1"/>
  <c r="G137" i="1"/>
  <c r="AE137" i="1"/>
  <c r="BD137" i="1" s="1"/>
  <c r="AF137" i="1"/>
  <c r="BF137" i="1"/>
  <c r="BG137" i="1"/>
  <c r="BH137" i="1"/>
  <c r="BI137" i="1"/>
  <c r="BJ137" i="1"/>
  <c r="BK137" i="1"/>
  <c r="BL137" i="1"/>
  <c r="BM137" i="1"/>
  <c r="BN137" i="1"/>
  <c r="BO137" i="1"/>
  <c r="BP137" i="1"/>
  <c r="BQ137" i="1"/>
  <c r="BR137" i="1"/>
  <c r="BS137" i="1"/>
  <c r="BT137" i="1"/>
  <c r="BU137" i="1"/>
  <c r="BV137" i="1"/>
  <c r="BW137" i="1"/>
  <c r="BX137" i="1"/>
  <c r="BY137" i="1"/>
  <c r="BZ137" i="1"/>
  <c r="CB137" i="1"/>
  <c r="CD137" i="1"/>
  <c r="DD137" i="1"/>
  <c r="DE137" i="1"/>
  <c r="DF137" i="1"/>
  <c r="DG137" i="1"/>
  <c r="DH137" i="1"/>
  <c r="DI137" i="1"/>
  <c r="DJ137" i="1"/>
  <c r="DK137" i="1"/>
  <c r="DL137" i="1"/>
  <c r="DM137" i="1"/>
  <c r="DN137" i="1"/>
  <c r="DO137" i="1"/>
  <c r="DP137" i="1"/>
  <c r="DQ137" i="1"/>
  <c r="DR137" i="1"/>
  <c r="DS137" i="1"/>
  <c r="DT137" i="1"/>
  <c r="DU137" i="1"/>
  <c r="DV137" i="1"/>
  <c r="DW137" i="1"/>
  <c r="DX137" i="1"/>
  <c r="DZ137" i="1"/>
  <c r="EB137" i="1"/>
  <c r="G138" i="1"/>
  <c r="AF138" i="1"/>
  <c r="AE138" i="1" s="1"/>
  <c r="BD138" i="1" s="1"/>
  <c r="BF138" i="1"/>
  <c r="BG138" i="1"/>
  <c r="BH138" i="1"/>
  <c r="BI138" i="1"/>
  <c r="BJ138" i="1"/>
  <c r="BK138" i="1"/>
  <c r="BL138" i="1"/>
  <c r="BM138" i="1"/>
  <c r="BN138" i="1"/>
  <c r="BO138" i="1"/>
  <c r="BP138" i="1"/>
  <c r="BP151" i="1" s="1"/>
  <c r="BQ138" i="1"/>
  <c r="BR138" i="1"/>
  <c r="BS138" i="1"/>
  <c r="BT138" i="1"/>
  <c r="BU138" i="1"/>
  <c r="BV138" i="1"/>
  <c r="BW138" i="1"/>
  <c r="BX138" i="1"/>
  <c r="BX151" i="1" s="1"/>
  <c r="BY138" i="1"/>
  <c r="BZ138" i="1"/>
  <c r="CB138" i="1"/>
  <c r="CD138" i="1"/>
  <c r="DD138" i="1"/>
  <c r="DE138" i="1"/>
  <c r="DF138" i="1"/>
  <c r="DG138" i="1"/>
  <c r="DH138" i="1"/>
  <c r="DI138" i="1"/>
  <c r="DJ138" i="1"/>
  <c r="DK138" i="1"/>
  <c r="DC138" i="1" s="1"/>
  <c r="DL138" i="1"/>
  <c r="DM138" i="1"/>
  <c r="DN138" i="1"/>
  <c r="DO138" i="1"/>
  <c r="DP138" i="1"/>
  <c r="DQ138" i="1"/>
  <c r="DR138" i="1"/>
  <c r="DS138" i="1"/>
  <c r="DT138" i="1"/>
  <c r="DU138" i="1"/>
  <c r="DV138" i="1"/>
  <c r="DW138" i="1"/>
  <c r="DX138" i="1"/>
  <c r="DZ138" i="1"/>
  <c r="EB138" i="1"/>
  <c r="G139" i="1"/>
  <c r="AX139" i="1"/>
  <c r="AF139" i="1" s="1"/>
  <c r="AE139" i="1" s="1"/>
  <c r="BD139" i="1" s="1"/>
  <c r="BF139" i="1"/>
  <c r="BG139" i="1"/>
  <c r="BH139" i="1"/>
  <c r="BI139" i="1"/>
  <c r="BJ139" i="1"/>
  <c r="BK139" i="1"/>
  <c r="BL139" i="1"/>
  <c r="BM139" i="1"/>
  <c r="BN139" i="1"/>
  <c r="BO139" i="1"/>
  <c r="BP139" i="1"/>
  <c r="BQ139" i="1"/>
  <c r="BR139" i="1"/>
  <c r="BS139" i="1"/>
  <c r="BT139" i="1"/>
  <c r="BU139" i="1"/>
  <c r="BV139" i="1"/>
  <c r="BW139" i="1"/>
  <c r="BX139" i="1"/>
  <c r="BY139" i="1"/>
  <c r="BZ139" i="1"/>
  <c r="CB139" i="1"/>
  <c r="CV139" i="1"/>
  <c r="DU139" i="1" s="1"/>
  <c r="DB139" i="1"/>
  <c r="DD139" i="1"/>
  <c r="DE139" i="1"/>
  <c r="DF139" i="1"/>
  <c r="DG139" i="1"/>
  <c r="DH139" i="1"/>
  <c r="DI139" i="1"/>
  <c r="DJ139" i="1"/>
  <c r="DK139" i="1"/>
  <c r="DL139" i="1"/>
  <c r="DM139" i="1"/>
  <c r="DN139" i="1"/>
  <c r="DO139" i="1"/>
  <c r="DP139" i="1"/>
  <c r="DQ139" i="1"/>
  <c r="DR139" i="1"/>
  <c r="DS139" i="1"/>
  <c r="DT139" i="1"/>
  <c r="DV139" i="1"/>
  <c r="DW139" i="1"/>
  <c r="DX139" i="1"/>
  <c r="DZ139" i="1"/>
  <c r="EB139" i="1"/>
  <c r="G140" i="1"/>
  <c r="I140" i="1"/>
  <c r="AD140" i="1"/>
  <c r="AH140" i="1"/>
  <c r="BC140" i="1"/>
  <c r="BF140" i="1"/>
  <c r="BH140" i="1"/>
  <c r="BI140" i="1"/>
  <c r="BJ140" i="1"/>
  <c r="BK140" i="1"/>
  <c r="BK149" i="1" s="1"/>
  <c r="BL140" i="1"/>
  <c r="BM140" i="1"/>
  <c r="BN140" i="1"/>
  <c r="BO140" i="1"/>
  <c r="BP140" i="1"/>
  <c r="BQ140" i="1"/>
  <c r="BR140" i="1"/>
  <c r="BS140" i="1"/>
  <c r="BS149" i="1" s="1"/>
  <c r="BT140" i="1"/>
  <c r="BU140" i="1"/>
  <c r="BU149" i="1" s="1"/>
  <c r="BV140" i="1"/>
  <c r="BW140" i="1"/>
  <c r="BX140" i="1"/>
  <c r="BY140" i="1"/>
  <c r="BZ140" i="1"/>
  <c r="DA140" i="1"/>
  <c r="DD140" i="1"/>
  <c r="DF140" i="1"/>
  <c r="DG140" i="1"/>
  <c r="DG149" i="1" s="1"/>
  <c r="DH140" i="1"/>
  <c r="DI140" i="1"/>
  <c r="DJ140" i="1"/>
  <c r="DJ149" i="1" s="1"/>
  <c r="DK140" i="1"/>
  <c r="DL140" i="1"/>
  <c r="DM140" i="1"/>
  <c r="DN140" i="1"/>
  <c r="DO140" i="1"/>
  <c r="DP140" i="1"/>
  <c r="DQ140" i="1"/>
  <c r="DR140" i="1"/>
  <c r="DR149" i="1" s="1"/>
  <c r="DS140" i="1"/>
  <c r="DT140" i="1"/>
  <c r="DU140" i="1"/>
  <c r="DV140" i="1"/>
  <c r="DW140" i="1"/>
  <c r="DX140" i="1"/>
  <c r="EB140" i="1"/>
  <c r="G141" i="1"/>
  <c r="I141" i="1"/>
  <c r="AH141" i="1"/>
  <c r="AF141" i="1" s="1"/>
  <c r="AE141" i="1" s="1"/>
  <c r="BD141" i="1" s="1"/>
  <c r="BF141" i="1"/>
  <c r="BG141" i="1"/>
  <c r="BE141" i="1" s="1"/>
  <c r="BH141" i="1"/>
  <c r="BI141" i="1"/>
  <c r="BI149" i="1" s="1"/>
  <c r="BJ141" i="1"/>
  <c r="BJ149" i="1" s="1"/>
  <c r="BK141" i="1"/>
  <c r="BL141" i="1"/>
  <c r="BM141" i="1"/>
  <c r="BN141" i="1"/>
  <c r="BO141" i="1"/>
  <c r="BP141" i="1"/>
  <c r="BQ141" i="1"/>
  <c r="BQ149" i="1" s="1"/>
  <c r="BR141" i="1"/>
  <c r="BR149" i="1" s="1"/>
  <c r="BS141" i="1"/>
  <c r="BT141" i="1"/>
  <c r="BU141" i="1"/>
  <c r="BV141" i="1"/>
  <c r="BW141" i="1"/>
  <c r="BX141" i="1"/>
  <c r="BY141" i="1"/>
  <c r="BY149" i="1" s="1"/>
  <c r="BZ141" i="1"/>
  <c r="BZ149" i="1" s="1"/>
  <c r="CF141" i="1"/>
  <c r="CD141" i="1" s="1"/>
  <c r="DD141" i="1"/>
  <c r="DF141" i="1"/>
  <c r="DF149" i="1" s="1"/>
  <c r="DG141" i="1"/>
  <c r="DH141" i="1"/>
  <c r="DI141" i="1"/>
  <c r="DJ141" i="1"/>
  <c r="DK141" i="1"/>
  <c r="DL141" i="1"/>
  <c r="DM141" i="1"/>
  <c r="DM149" i="1" s="1"/>
  <c r="DN141" i="1"/>
  <c r="DN149" i="1" s="1"/>
  <c r="DO141" i="1"/>
  <c r="DP141" i="1"/>
  <c r="DQ141" i="1"/>
  <c r="DR141" i="1"/>
  <c r="DS141" i="1"/>
  <c r="DT141" i="1"/>
  <c r="DU141" i="1"/>
  <c r="DU149" i="1" s="1"/>
  <c r="DV141" i="1"/>
  <c r="DV149" i="1" s="1"/>
  <c r="DW141" i="1"/>
  <c r="DX141" i="1"/>
  <c r="EB141" i="1"/>
  <c r="H142" i="1"/>
  <c r="I142" i="1"/>
  <c r="J142" i="1"/>
  <c r="K142" i="1"/>
  <c r="M142" i="1"/>
  <c r="M144" i="1" s="1"/>
  <c r="N142" i="1"/>
  <c r="S142" i="1"/>
  <c r="T142" i="1"/>
  <c r="T144" i="1" s="1"/>
  <c r="V142" i="1"/>
  <c r="W142" i="1"/>
  <c r="X142" i="1"/>
  <c r="Y142" i="1"/>
  <c r="Z142" i="1"/>
  <c r="AA142" i="1"/>
  <c r="AB142" i="1"/>
  <c r="AB144" i="1" s="1"/>
  <c r="AG142" i="1"/>
  <c r="AI142" i="1"/>
  <c r="AK142" i="1"/>
  <c r="AK144" i="1" s="1"/>
  <c r="AL142" i="1"/>
  <c r="AM142" i="1"/>
  <c r="AR142" i="1"/>
  <c r="AS142" i="1"/>
  <c r="AZ142" i="1"/>
  <c r="BA142" i="1"/>
  <c r="BA144" i="1" s="1"/>
  <c r="CE142" i="1"/>
  <c r="CG142" i="1"/>
  <c r="CH142" i="1"/>
  <c r="CI142" i="1"/>
  <c r="CJ142" i="1"/>
  <c r="CK142" i="1"/>
  <c r="CP142" i="1"/>
  <c r="CQ142" i="1"/>
  <c r="CT142" i="1"/>
  <c r="CX142" i="1"/>
  <c r="CY142" i="1"/>
  <c r="DH142" i="1"/>
  <c r="DX142" i="1"/>
  <c r="I144" i="1"/>
  <c r="I154" i="1" s="1"/>
  <c r="CI144" i="1"/>
  <c r="H146" i="1"/>
  <c r="I146" i="1"/>
  <c r="J146" i="1"/>
  <c r="K146" i="1"/>
  <c r="K153" i="1" s="1"/>
  <c r="L146" i="1"/>
  <c r="M146" i="1"/>
  <c r="N146" i="1"/>
  <c r="O146" i="1"/>
  <c r="P146" i="1"/>
  <c r="S146" i="1"/>
  <c r="T146" i="1"/>
  <c r="U146" i="1"/>
  <c r="V146" i="1"/>
  <c r="W146" i="1"/>
  <c r="X146" i="1"/>
  <c r="Y146" i="1"/>
  <c r="Z146" i="1"/>
  <c r="AA146" i="1"/>
  <c r="AB146" i="1"/>
  <c r="AD146" i="1"/>
  <c r="AG146" i="1"/>
  <c r="AH146" i="1"/>
  <c r="AI146" i="1"/>
  <c r="AJ146" i="1"/>
  <c r="AK146" i="1"/>
  <c r="AL146" i="1"/>
  <c r="AM146" i="1"/>
  <c r="AR146" i="1"/>
  <c r="AS146" i="1"/>
  <c r="AV146" i="1"/>
  <c r="AW146" i="1"/>
  <c r="AX146" i="1"/>
  <c r="AY146" i="1"/>
  <c r="AZ146" i="1"/>
  <c r="BA146" i="1"/>
  <c r="BG146" i="1"/>
  <c r="BH146" i="1"/>
  <c r="BI146" i="1"/>
  <c r="BJ146" i="1"/>
  <c r="BL146" i="1"/>
  <c r="BQ146" i="1"/>
  <c r="BR146" i="1"/>
  <c r="BV146" i="1"/>
  <c r="BZ146" i="1"/>
  <c r="CE146" i="1"/>
  <c r="CF146" i="1"/>
  <c r="CG146" i="1"/>
  <c r="CH146" i="1"/>
  <c r="CI146" i="1"/>
  <c r="CJ146" i="1"/>
  <c r="CK146" i="1"/>
  <c r="CP146" i="1"/>
  <c r="CQ146" i="1"/>
  <c r="CT146" i="1"/>
  <c r="CU146" i="1"/>
  <c r="CV146" i="1"/>
  <c r="CW146" i="1"/>
  <c r="CX146" i="1"/>
  <c r="CY146" i="1"/>
  <c r="CZ146" i="1"/>
  <c r="DD146" i="1"/>
  <c r="DE146" i="1"/>
  <c r="DF146" i="1"/>
  <c r="DG146" i="1"/>
  <c r="DJ146" i="1"/>
  <c r="DV146" i="1"/>
  <c r="DW146" i="1"/>
  <c r="H147" i="1"/>
  <c r="I147" i="1"/>
  <c r="J147" i="1"/>
  <c r="K147" i="1"/>
  <c r="L147" i="1"/>
  <c r="M147" i="1"/>
  <c r="N147" i="1"/>
  <c r="Q147" i="1"/>
  <c r="S147" i="1"/>
  <c r="T147" i="1"/>
  <c r="U147" i="1"/>
  <c r="V147" i="1"/>
  <c r="W147" i="1"/>
  <c r="X147" i="1"/>
  <c r="Y147" i="1"/>
  <c r="AA147" i="1"/>
  <c r="AC147" i="1"/>
  <c r="AG147" i="1"/>
  <c r="AI147" i="1"/>
  <c r="AK147" i="1"/>
  <c r="AL147" i="1"/>
  <c r="AR147" i="1"/>
  <c r="AS147" i="1"/>
  <c r="AU147" i="1"/>
  <c r="AZ147" i="1"/>
  <c r="BA147" i="1"/>
  <c r="BB147" i="1"/>
  <c r="BH147" i="1"/>
  <c r="BR147" i="1"/>
  <c r="BT147" i="1"/>
  <c r="BZ147" i="1"/>
  <c r="CE147" i="1"/>
  <c r="CF147" i="1"/>
  <c r="CG147" i="1"/>
  <c r="CH147" i="1"/>
  <c r="CI147" i="1"/>
  <c r="CJ147" i="1"/>
  <c r="CK147" i="1"/>
  <c r="CP147" i="1"/>
  <c r="CQ147" i="1"/>
  <c r="CR147" i="1"/>
  <c r="CS147" i="1"/>
  <c r="CV147" i="1"/>
  <c r="CX147" i="1"/>
  <c r="CY147" i="1"/>
  <c r="DD147" i="1"/>
  <c r="DF147" i="1"/>
  <c r="DI147" i="1"/>
  <c r="DU147" i="1"/>
  <c r="H148" i="1"/>
  <c r="I148" i="1"/>
  <c r="J148" i="1"/>
  <c r="K148" i="1"/>
  <c r="L148" i="1"/>
  <c r="M148" i="1"/>
  <c r="N148" i="1"/>
  <c r="O148" i="1"/>
  <c r="P148" i="1"/>
  <c r="Q148" i="1"/>
  <c r="R148" i="1"/>
  <c r="S148" i="1"/>
  <c r="T148" i="1"/>
  <c r="U148" i="1"/>
  <c r="V148" i="1"/>
  <c r="W148" i="1"/>
  <c r="X148" i="1"/>
  <c r="Y148" i="1"/>
  <c r="AC148" i="1"/>
  <c r="AD148" i="1"/>
  <c r="AI148" i="1"/>
  <c r="AK148" i="1"/>
  <c r="AM148" i="1"/>
  <c r="AN148" i="1"/>
  <c r="AO148" i="1"/>
  <c r="AP148" i="1"/>
  <c r="AQ148" i="1"/>
  <c r="AR148" i="1"/>
  <c r="AS148" i="1"/>
  <c r="AT148" i="1"/>
  <c r="AU148" i="1"/>
  <c r="AV148" i="1"/>
  <c r="BA148" i="1"/>
  <c r="BB148" i="1"/>
  <c r="BR148" i="1"/>
  <c r="BT148" i="1"/>
  <c r="CA148" i="1"/>
  <c r="CG148" i="1"/>
  <c r="CH148" i="1"/>
  <c r="CI148" i="1"/>
  <c r="CK148" i="1"/>
  <c r="CL148" i="1"/>
  <c r="CM148" i="1"/>
  <c r="CN148" i="1"/>
  <c r="CO148" i="1"/>
  <c r="CP148" i="1"/>
  <c r="CQ148" i="1"/>
  <c r="CR148" i="1"/>
  <c r="CS148" i="1"/>
  <c r="CT148" i="1"/>
  <c r="CU148" i="1"/>
  <c r="CY148" i="1"/>
  <c r="CZ148" i="1"/>
  <c r="DF148" i="1"/>
  <c r="DJ148" i="1"/>
  <c r="DR148" i="1"/>
  <c r="DY148" i="1"/>
  <c r="G149" i="1"/>
  <c r="EB149" i="1" s="1"/>
  <c r="H149" i="1"/>
  <c r="I149" i="1"/>
  <c r="J149" i="1"/>
  <c r="K149" i="1"/>
  <c r="L149" i="1"/>
  <c r="M149" i="1"/>
  <c r="N149" i="1"/>
  <c r="O149" i="1"/>
  <c r="P149" i="1"/>
  <c r="Q149" i="1"/>
  <c r="R149" i="1"/>
  <c r="S149" i="1"/>
  <c r="T149" i="1"/>
  <c r="U149" i="1"/>
  <c r="V149" i="1"/>
  <c r="W149" i="1"/>
  <c r="X149" i="1"/>
  <c r="Y149" i="1"/>
  <c r="Z149" i="1"/>
  <c r="AA149" i="1"/>
  <c r="AC149" i="1"/>
  <c r="AD149" i="1"/>
  <c r="AG149" i="1"/>
  <c r="AI149" i="1"/>
  <c r="AJ149" i="1"/>
  <c r="AK149" i="1"/>
  <c r="AL149" i="1"/>
  <c r="AM149" i="1"/>
  <c r="AN149" i="1"/>
  <c r="AO149" i="1"/>
  <c r="AP149" i="1"/>
  <c r="AQ149" i="1"/>
  <c r="AR149" i="1"/>
  <c r="AS149" i="1"/>
  <c r="AT149" i="1"/>
  <c r="AU149" i="1"/>
  <c r="AV149" i="1"/>
  <c r="AX149" i="1"/>
  <c r="AY149" i="1"/>
  <c r="AZ149" i="1"/>
  <c r="BA149" i="1"/>
  <c r="BB149" i="1"/>
  <c r="BF149" i="1"/>
  <c r="BH149" i="1"/>
  <c r="BL149" i="1"/>
  <c r="BM149" i="1"/>
  <c r="BN149" i="1"/>
  <c r="BO149" i="1"/>
  <c r="BP149" i="1"/>
  <c r="BT149" i="1"/>
  <c r="BW149" i="1"/>
  <c r="BX149" i="1"/>
  <c r="CA149" i="1"/>
  <c r="CE149" i="1"/>
  <c r="CG149" i="1"/>
  <c r="CH149" i="1"/>
  <c r="CI149" i="1"/>
  <c r="CJ149" i="1"/>
  <c r="CK149" i="1"/>
  <c r="CL149" i="1"/>
  <c r="CM149" i="1"/>
  <c r="CN149" i="1"/>
  <c r="CO149" i="1"/>
  <c r="CP149" i="1"/>
  <c r="CQ149" i="1"/>
  <c r="CR149" i="1"/>
  <c r="CS149" i="1"/>
  <c r="CT149" i="1"/>
  <c r="CU149" i="1"/>
  <c r="CV149" i="1"/>
  <c r="CW149" i="1"/>
  <c r="CX149" i="1"/>
  <c r="CY149" i="1"/>
  <c r="CZ149" i="1"/>
  <c r="DD149" i="1"/>
  <c r="DH149" i="1"/>
  <c r="DI149" i="1"/>
  <c r="DK149" i="1"/>
  <c r="DL149" i="1"/>
  <c r="DP149" i="1"/>
  <c r="DQ149" i="1"/>
  <c r="DS149" i="1"/>
  <c r="DX149" i="1"/>
  <c r="DY149" i="1"/>
  <c r="H150" i="1"/>
  <c r="I150" i="1"/>
  <c r="J150" i="1"/>
  <c r="K150" i="1"/>
  <c r="L150" i="1"/>
  <c r="M150" i="1"/>
  <c r="N150" i="1"/>
  <c r="O150" i="1"/>
  <c r="P150" i="1"/>
  <c r="Q150" i="1"/>
  <c r="R150" i="1"/>
  <c r="S150" i="1"/>
  <c r="T150" i="1"/>
  <c r="U150" i="1"/>
  <c r="V150" i="1"/>
  <c r="W150" i="1"/>
  <c r="X150" i="1"/>
  <c r="Y150" i="1"/>
  <c r="Z150" i="1"/>
  <c r="AA150" i="1"/>
  <c r="AB150" i="1"/>
  <c r="AC150" i="1"/>
  <c r="AG150" i="1"/>
  <c r="AH150" i="1"/>
  <c r="AI150" i="1"/>
  <c r="AJ150" i="1"/>
  <c r="AK150" i="1"/>
  <c r="AL150" i="1"/>
  <c r="AM150" i="1"/>
  <c r="AO150" i="1"/>
  <c r="AU150" i="1"/>
  <c r="AX150" i="1"/>
  <c r="AZ150" i="1"/>
  <c r="BA150" i="1"/>
  <c r="BB150" i="1"/>
  <c r="BF150" i="1"/>
  <c r="BI150" i="1"/>
  <c r="BY150" i="1"/>
  <c r="CA150" i="1"/>
  <c r="CE150" i="1"/>
  <c r="CF150" i="1"/>
  <c r="CG150" i="1"/>
  <c r="CH150" i="1"/>
  <c r="CI150" i="1"/>
  <c r="CJ150" i="1"/>
  <c r="CK150" i="1"/>
  <c r="CM150" i="1"/>
  <c r="CN150" i="1"/>
  <c r="CO150" i="1"/>
  <c r="CS150" i="1"/>
  <c r="CV150" i="1"/>
  <c r="CX150" i="1"/>
  <c r="CY150" i="1"/>
  <c r="CZ150" i="1"/>
  <c r="DH150" i="1"/>
  <c r="DY150" i="1"/>
  <c r="H151" i="1"/>
  <c r="H153" i="1" s="1"/>
  <c r="I151" i="1"/>
  <c r="J151" i="1"/>
  <c r="K151" i="1"/>
  <c r="L151" i="1"/>
  <c r="M151" i="1"/>
  <c r="N151" i="1"/>
  <c r="O151" i="1"/>
  <c r="P151" i="1"/>
  <c r="Q151" i="1"/>
  <c r="R151" i="1"/>
  <c r="S151" i="1"/>
  <c r="T151" i="1"/>
  <c r="U151" i="1"/>
  <c r="V151" i="1"/>
  <c r="W151" i="1"/>
  <c r="X151" i="1"/>
  <c r="X153" i="1" s="1"/>
  <c r="Y151" i="1"/>
  <c r="Z151" i="1"/>
  <c r="AA151" i="1"/>
  <c r="AC151" i="1"/>
  <c r="AD151" i="1"/>
  <c r="AG151" i="1"/>
  <c r="AJ151" i="1"/>
  <c r="AK151" i="1"/>
  <c r="AL151" i="1"/>
  <c r="AM151" i="1"/>
  <c r="AN151" i="1"/>
  <c r="AO151" i="1"/>
  <c r="AQ151" i="1"/>
  <c r="AR151" i="1"/>
  <c r="AS151" i="1"/>
  <c r="AT151" i="1"/>
  <c r="AU151" i="1"/>
  <c r="AV151" i="1"/>
  <c r="AY151" i="1"/>
  <c r="AZ151" i="1"/>
  <c r="BA151" i="1"/>
  <c r="BB151" i="1"/>
  <c r="BK151" i="1"/>
  <c r="BS151" i="1"/>
  <c r="BU151" i="1"/>
  <c r="BY151" i="1"/>
  <c r="BZ151" i="1"/>
  <c r="CE151" i="1"/>
  <c r="CH151" i="1"/>
  <c r="CI151" i="1"/>
  <c r="CI153" i="1" s="1"/>
  <c r="CI154" i="1" s="1"/>
  <c r="CJ151" i="1"/>
  <c r="CK151" i="1"/>
  <c r="CL151" i="1"/>
  <c r="CM151" i="1"/>
  <c r="CN151" i="1"/>
  <c r="CO151" i="1"/>
  <c r="CP151" i="1"/>
  <c r="CQ151" i="1"/>
  <c r="CR151" i="1"/>
  <c r="CS151" i="1"/>
  <c r="CT151" i="1"/>
  <c r="CW151" i="1"/>
  <c r="CX151" i="1"/>
  <c r="CY151" i="1"/>
  <c r="DJ151" i="1"/>
  <c r="DK151" i="1"/>
  <c r="DN151" i="1"/>
  <c r="DQ151" i="1"/>
  <c r="DR151" i="1"/>
  <c r="DS151" i="1"/>
  <c r="H152" i="1"/>
  <c r="I152" i="1"/>
  <c r="J152" i="1"/>
  <c r="K152" i="1"/>
  <c r="L152" i="1"/>
  <c r="M152" i="1"/>
  <c r="N152" i="1"/>
  <c r="O152" i="1"/>
  <c r="P152" i="1"/>
  <c r="Q152" i="1"/>
  <c r="R152" i="1"/>
  <c r="S152" i="1"/>
  <c r="T152" i="1"/>
  <c r="U152" i="1"/>
  <c r="V152" i="1"/>
  <c r="W152" i="1"/>
  <c r="X152" i="1"/>
  <c r="Y152" i="1"/>
  <c r="Z152" i="1"/>
  <c r="AA152" i="1"/>
  <c r="AC152" i="1"/>
  <c r="AD152" i="1"/>
  <c r="AG152" i="1"/>
  <c r="AI152" i="1"/>
  <c r="AJ152" i="1"/>
  <c r="AK152" i="1"/>
  <c r="AL152" i="1"/>
  <c r="AM152" i="1"/>
  <c r="AN152" i="1"/>
  <c r="AO152" i="1"/>
  <c r="AP152" i="1"/>
  <c r="AQ152" i="1"/>
  <c r="AR152" i="1"/>
  <c r="AS152" i="1"/>
  <c r="AT152" i="1"/>
  <c r="AU152" i="1"/>
  <c r="AV152" i="1"/>
  <c r="AZ152" i="1"/>
  <c r="BA152" i="1"/>
  <c r="BB152" i="1"/>
  <c r="BL152" i="1"/>
  <c r="BO152" i="1"/>
  <c r="BS152" i="1"/>
  <c r="BT152" i="1"/>
  <c r="CA152" i="1"/>
  <c r="CE152" i="1"/>
  <c r="CG152" i="1"/>
  <c r="CH152" i="1"/>
  <c r="CI152" i="1"/>
  <c r="CJ152" i="1"/>
  <c r="CK152" i="1"/>
  <c r="CL152" i="1"/>
  <c r="CM152" i="1"/>
  <c r="CN152" i="1"/>
  <c r="CO152" i="1"/>
  <c r="CP152" i="1"/>
  <c r="CQ152" i="1"/>
  <c r="CR152" i="1"/>
  <c r="CS152" i="1"/>
  <c r="CX152" i="1"/>
  <c r="CY152" i="1"/>
  <c r="CZ152" i="1"/>
  <c r="DF152" i="1"/>
  <c r="DG152" i="1"/>
  <c r="DH152" i="1"/>
  <c r="DK152" i="1"/>
  <c r="DO152" i="1"/>
  <c r="DY152" i="1"/>
  <c r="I153" i="1"/>
  <c r="J153" i="1"/>
  <c r="L153" i="1"/>
  <c r="T153" i="1"/>
  <c r="Y153" i="1"/>
  <c r="AB153" i="1"/>
  <c r="AB154" i="1" s="1"/>
  <c r="K154" i="1"/>
  <c r="G159" i="1"/>
  <c r="G158" i="1" s="1"/>
  <c r="G160" i="1"/>
  <c r="G161" i="1"/>
  <c r="G163" i="1"/>
  <c r="CY144" i="1" l="1"/>
  <c r="AW121" i="1"/>
  <c r="BV110" i="1"/>
  <c r="BC148" i="1"/>
  <c r="DE97" i="1"/>
  <c r="BX86" i="1"/>
  <c r="BE86" i="1" s="1"/>
  <c r="DM150" i="1"/>
  <c r="AW105" i="2"/>
  <c r="DC84" i="2"/>
  <c r="BC151" i="1"/>
  <c r="AJ148" i="1"/>
  <c r="AY147" i="1"/>
  <c r="DZ146" i="1"/>
  <c r="CV121" i="1"/>
  <c r="CF121" i="1"/>
  <c r="AF118" i="1"/>
  <c r="AE118" i="1" s="1"/>
  <c r="BD118" i="1" s="1"/>
  <c r="BI117" i="1"/>
  <c r="AF116" i="1"/>
  <c r="AE116" i="1" s="1"/>
  <c r="BD116" i="1" s="1"/>
  <c r="DU110" i="1"/>
  <c r="DT48" i="1"/>
  <c r="DT150" i="1" s="1"/>
  <c r="DK45" i="1"/>
  <c r="DC45" i="1" s="1"/>
  <c r="ED45" i="1" s="1"/>
  <c r="BL35" i="1"/>
  <c r="BL147" i="1" s="1"/>
  <c r="AW149" i="1"/>
  <c r="BV18" i="1"/>
  <c r="BV87" i="2"/>
  <c r="AV150" i="1"/>
  <c r="DK71" i="1"/>
  <c r="AX104" i="1"/>
  <c r="BQ48" i="1"/>
  <c r="CF152" i="1"/>
  <c r="CW147" i="1"/>
  <c r="CD109" i="1"/>
  <c r="AY152" i="1"/>
  <c r="CL77" i="1"/>
  <c r="CD77" i="1" s="1"/>
  <c r="DK54" i="1"/>
  <c r="BR44" i="1"/>
  <c r="DV43" i="1"/>
  <c r="DC43" i="1" s="1"/>
  <c r="AM39" i="1"/>
  <c r="AM144" i="1" s="1"/>
  <c r="AF31" i="1"/>
  <c r="AE31" i="1" s="1"/>
  <c r="BD31" i="1" s="1"/>
  <c r="DK64" i="1"/>
  <c r="BS128" i="1"/>
  <c r="AF128" i="1"/>
  <c r="AV80" i="1"/>
  <c r="CP80" i="1"/>
  <c r="CP144" i="1" s="1"/>
  <c r="DE141" i="1"/>
  <c r="DC141" i="1" s="1"/>
  <c r="ED141" i="1" s="1"/>
  <c r="CU80" i="1"/>
  <c r="DV63" i="1"/>
  <c r="CR80" i="1"/>
  <c r="DP81" i="2"/>
  <c r="AN39" i="1"/>
  <c r="AX152" i="1"/>
  <c r="BM77" i="1"/>
  <c r="BE77" i="1" s="1"/>
  <c r="EC77" i="1" s="1"/>
  <c r="CD30" i="1"/>
  <c r="CC30" i="1" s="1"/>
  <c r="DB30" i="1" s="1"/>
  <c r="DT9" i="1"/>
  <c r="DM39" i="1"/>
  <c r="DB141" i="2"/>
  <c r="EE141" i="2"/>
  <c r="DB133" i="2"/>
  <c r="EE133" i="2"/>
  <c r="DB138" i="2"/>
  <c r="EE138" i="2"/>
  <c r="DB102" i="2"/>
  <c r="EE102" i="2"/>
  <c r="DB88" i="2"/>
  <c r="EE88" i="2"/>
  <c r="DB91" i="2"/>
  <c r="EE91" i="2"/>
  <c r="DB83" i="2"/>
  <c r="EE83" i="2"/>
  <c r="DB114" i="2"/>
  <c r="EE114" i="2"/>
  <c r="DB86" i="2"/>
  <c r="EE86" i="2"/>
  <c r="DB42" i="2"/>
  <c r="EE42" i="2"/>
  <c r="DB50" i="2"/>
  <c r="EE50" i="2"/>
  <c r="DB68" i="2"/>
  <c r="EE68" i="2"/>
  <c r="DB128" i="2"/>
  <c r="EE128" i="2"/>
  <c r="DB136" i="2"/>
  <c r="EE136" i="2"/>
  <c r="CP151" i="2"/>
  <c r="CP154" i="2" s="1"/>
  <c r="BX148" i="2"/>
  <c r="DB85" i="2"/>
  <c r="EE85" i="2"/>
  <c r="DB53" i="2"/>
  <c r="EE53" i="2"/>
  <c r="DB137" i="2"/>
  <c r="EE137" i="2"/>
  <c r="DB96" i="2"/>
  <c r="EE96" i="2"/>
  <c r="DB48" i="2"/>
  <c r="EE48" i="2"/>
  <c r="DL147" i="2"/>
  <c r="DB131" i="2"/>
  <c r="EE131" i="2"/>
  <c r="DB118" i="2"/>
  <c r="EE118" i="2"/>
  <c r="DB139" i="2"/>
  <c r="EE139" i="2"/>
  <c r="BE34" i="2"/>
  <c r="DB55" i="2"/>
  <c r="EE55" i="2"/>
  <c r="DB71" i="2"/>
  <c r="EE71" i="2"/>
  <c r="DB69" i="2"/>
  <c r="EE69" i="2"/>
  <c r="AE62" i="2"/>
  <c r="BD62" i="2" s="1"/>
  <c r="DB132" i="2"/>
  <c r="EE132" i="2"/>
  <c r="CF105" i="2"/>
  <c r="DB123" i="2"/>
  <c r="EE123" i="2"/>
  <c r="DB51" i="2"/>
  <c r="EE51" i="2"/>
  <c r="DB59" i="2"/>
  <c r="EE59" i="2"/>
  <c r="AE64" i="2"/>
  <c r="BD64" i="2" s="1"/>
  <c r="DC55" i="2"/>
  <c r="DE96" i="2"/>
  <c r="DC96" i="2" s="1"/>
  <c r="DB47" i="2"/>
  <c r="EE47" i="2"/>
  <c r="BE27" i="2"/>
  <c r="DB66" i="2"/>
  <c r="EE66" i="2"/>
  <c r="DB77" i="2"/>
  <c r="EE77" i="2"/>
  <c r="CO142" i="1"/>
  <c r="CO144" i="1" s="1"/>
  <c r="CL147" i="1"/>
  <c r="DN124" i="1"/>
  <c r="CD69" i="1"/>
  <c r="CC69" i="1" s="1"/>
  <c r="DB69" i="1" s="1"/>
  <c r="CD45" i="1"/>
  <c r="DB142" i="2"/>
  <c r="EE142" i="2"/>
  <c r="DB58" i="2"/>
  <c r="EE58" i="2"/>
  <c r="DB90" i="2"/>
  <c r="EE90" i="2"/>
  <c r="DB113" i="2"/>
  <c r="EE113" i="2"/>
  <c r="AH148" i="1"/>
  <c r="AF133" i="1"/>
  <c r="AE133" i="1" s="1"/>
  <c r="BD133" i="1" s="1"/>
  <c r="AF129" i="1"/>
  <c r="AE129" i="1" s="1"/>
  <c r="BD129" i="1" s="1"/>
  <c r="BU146" i="1"/>
  <c r="BK110" i="1"/>
  <c r="AF106" i="1"/>
  <c r="CD105" i="1"/>
  <c r="ED105" i="1" s="1"/>
  <c r="CW104" i="1"/>
  <c r="DU92" i="1"/>
  <c r="DU104" i="1" s="1"/>
  <c r="DA92" i="1"/>
  <c r="CD92" i="1" s="1"/>
  <c r="DC61" i="1"/>
  <c r="BV37" i="1"/>
  <c r="BV36" i="1"/>
  <c r="DT12" i="1"/>
  <c r="DB100" i="2"/>
  <c r="EE100" i="2"/>
  <c r="CX122" i="2"/>
  <c r="CX145" i="2" s="1"/>
  <c r="BE103" i="2"/>
  <c r="CA148" i="2"/>
  <c r="DB41" i="2"/>
  <c r="EE41" i="2"/>
  <c r="AH147" i="1"/>
  <c r="CD134" i="1"/>
  <c r="CC134" i="1" s="1"/>
  <c r="DB134" i="1" s="1"/>
  <c r="BC121" i="1"/>
  <c r="BV89" i="1"/>
  <c r="BE43" i="2"/>
  <c r="DB106" i="2"/>
  <c r="EE106" i="2"/>
  <c r="CB150" i="2"/>
  <c r="DK40" i="1"/>
  <c r="CG39" i="1"/>
  <c r="CG144" i="1" s="1"/>
  <c r="CG151" i="1"/>
  <c r="CD120" i="1"/>
  <c r="CC120" i="1" s="1"/>
  <c r="DB120" i="1" s="1"/>
  <c r="DB70" i="2"/>
  <c r="EE70" i="2"/>
  <c r="CW152" i="1"/>
  <c r="AW150" i="1"/>
  <c r="AH121" i="1"/>
  <c r="BI148" i="1"/>
  <c r="BV48" i="1"/>
  <c r="BV150" i="1" s="1"/>
  <c r="BE32" i="1"/>
  <c r="BG15" i="1"/>
  <c r="DB99" i="2"/>
  <c r="EE99" i="2"/>
  <c r="DB135" i="2"/>
  <c r="EE135" i="2"/>
  <c r="DB116" i="2"/>
  <c r="EE116" i="2"/>
  <c r="DB56" i="2"/>
  <c r="EE56" i="2"/>
  <c r="BX83" i="1"/>
  <c r="AI151" i="1"/>
  <c r="DB112" i="2"/>
  <c r="EE112" i="2"/>
  <c r="DB79" i="2"/>
  <c r="EE79" i="2"/>
  <c r="CJ148" i="1"/>
  <c r="CJ153" i="1" s="1"/>
  <c r="CJ154" i="1" s="1"/>
  <c r="AF125" i="1"/>
  <c r="AF83" i="1"/>
  <c r="AE83" i="1" s="1"/>
  <c r="BD83" i="1" s="1"/>
  <c r="DE15" i="1"/>
  <c r="DB119" i="2"/>
  <c r="EE119" i="2"/>
  <c r="DU122" i="2"/>
  <c r="CC126" i="2"/>
  <c r="BM147" i="2"/>
  <c r="DC91" i="2"/>
  <c r="DZ35" i="2"/>
  <c r="X154" i="2"/>
  <c r="DC56" i="2"/>
  <c r="BX105" i="2"/>
  <c r="AQ145" i="2"/>
  <c r="BE128" i="2"/>
  <c r="CC52" i="2"/>
  <c r="DU153" i="2"/>
  <c r="O145" i="2"/>
  <c r="W145" i="2"/>
  <c r="CC60" i="2"/>
  <c r="DN148" i="2"/>
  <c r="DK147" i="2"/>
  <c r="AE42" i="2"/>
  <c r="BD42" i="2" s="1"/>
  <c r="DC72" i="2"/>
  <c r="BE18" i="2"/>
  <c r="DL148" i="2"/>
  <c r="BJ143" i="2"/>
  <c r="BN147" i="2"/>
  <c r="BX143" i="2"/>
  <c r="AE108" i="2"/>
  <c r="BD108" i="2" s="1"/>
  <c r="DZ122" i="2"/>
  <c r="DG149" i="2"/>
  <c r="DG154" i="2" s="1"/>
  <c r="AE97" i="2"/>
  <c r="BD97" i="2" s="1"/>
  <c r="CC89" i="2"/>
  <c r="DC80" i="2"/>
  <c r="CC49" i="2"/>
  <c r="AO154" i="2"/>
  <c r="BE78" i="2"/>
  <c r="AE53" i="2"/>
  <c r="BD53" i="2" s="1"/>
  <c r="DC49" i="2"/>
  <c r="CZ154" i="2"/>
  <c r="AE73" i="2"/>
  <c r="BD73" i="2" s="1"/>
  <c r="BX81" i="2"/>
  <c r="AE79" i="2"/>
  <c r="BD79" i="2" s="1"/>
  <c r="BE55" i="2"/>
  <c r="CC27" i="2"/>
  <c r="DB27" i="2" s="1"/>
  <c r="DJ40" i="2"/>
  <c r="DJ145" i="2" s="1"/>
  <c r="BW40" i="2"/>
  <c r="P154" i="2"/>
  <c r="DC35" i="2"/>
  <c r="DL40" i="2"/>
  <c r="DZ27" i="2"/>
  <c r="DC27" i="2" s="1"/>
  <c r="AV154" i="2"/>
  <c r="I154" i="2"/>
  <c r="DE149" i="2"/>
  <c r="DA81" i="2"/>
  <c r="DA145" i="2" s="1"/>
  <c r="DL143" i="2"/>
  <c r="BU105" i="2"/>
  <c r="CZ145" i="2"/>
  <c r="AN145" i="2"/>
  <c r="DA151" i="2"/>
  <c r="BE47" i="2"/>
  <c r="DZ47" i="2"/>
  <c r="DC47" i="2" s="1"/>
  <c r="BN143" i="2"/>
  <c r="BJ145" i="2"/>
  <c r="AV145" i="2"/>
  <c r="DC42" i="2"/>
  <c r="DS148" i="2"/>
  <c r="DC141" i="2"/>
  <c r="CC97" i="2"/>
  <c r="DR143" i="2"/>
  <c r="DR145" i="2" s="1"/>
  <c r="R145" i="2"/>
  <c r="U154" i="2"/>
  <c r="CR154" i="2"/>
  <c r="AC154" i="2"/>
  <c r="BE45" i="2"/>
  <c r="DN151" i="2"/>
  <c r="AJ154" i="2"/>
  <c r="DC130" i="2"/>
  <c r="Z145" i="2"/>
  <c r="DC89" i="2"/>
  <c r="DZ150" i="2"/>
  <c r="DV153" i="2"/>
  <c r="DU40" i="2"/>
  <c r="BP151" i="2"/>
  <c r="CO154" i="2"/>
  <c r="AE36" i="2"/>
  <c r="BD36" i="2" s="1"/>
  <c r="BE79" i="2"/>
  <c r="CD93" i="2"/>
  <c r="CC93" i="2" s="1"/>
  <c r="DA152" i="2"/>
  <c r="CD152" i="2" s="1"/>
  <c r="AW154" i="2"/>
  <c r="BV122" i="2"/>
  <c r="BH152" i="2"/>
  <c r="BH154" i="2" s="1"/>
  <c r="BX153" i="2"/>
  <c r="DQ81" i="2"/>
  <c r="BE51" i="2"/>
  <c r="AY154" i="2"/>
  <c r="BR151" i="2"/>
  <c r="BR154" i="2" s="1"/>
  <c r="CC64" i="2"/>
  <c r="CW151" i="2"/>
  <c r="CW154" i="2" s="1"/>
  <c r="AE89" i="2"/>
  <c r="BD89" i="2" s="1"/>
  <c r="AE112" i="2"/>
  <c r="BD112" i="2" s="1"/>
  <c r="DM151" i="2"/>
  <c r="DX151" i="2"/>
  <c r="DX154" i="2" s="1"/>
  <c r="BB154" i="2"/>
  <c r="AH145" i="2"/>
  <c r="CP81" i="2"/>
  <c r="CP145" i="2" s="1"/>
  <c r="DQ143" i="2"/>
  <c r="CD149" i="2"/>
  <c r="AX154" i="2"/>
  <c r="DK78" i="2"/>
  <c r="DC78" i="2" s="1"/>
  <c r="CD107" i="2"/>
  <c r="CC107" i="2" s="1"/>
  <c r="AN154" i="2"/>
  <c r="BH40" i="2"/>
  <c r="BH145" i="2" s="1"/>
  <c r="DA40" i="2"/>
  <c r="CF40" i="2"/>
  <c r="CS145" i="2"/>
  <c r="DT152" i="2"/>
  <c r="BE58" i="2"/>
  <c r="CL151" i="2"/>
  <c r="CL154" i="2" s="1"/>
  <c r="BG152" i="2"/>
  <c r="DZ149" i="2"/>
  <c r="CN154" i="2"/>
  <c r="DK143" i="2"/>
  <c r="DV76" i="2"/>
  <c r="DC76" i="2" s="1"/>
  <c r="BE127" i="2"/>
  <c r="DC12" i="2"/>
  <c r="BK154" i="2"/>
  <c r="BT143" i="2"/>
  <c r="DW107" i="2"/>
  <c r="DC107" i="2" s="1"/>
  <c r="AX145" i="2"/>
  <c r="DF40" i="2"/>
  <c r="DF145" i="2" s="1"/>
  <c r="CW81" i="2"/>
  <c r="CW145" i="2" s="1"/>
  <c r="AU154" i="2"/>
  <c r="BE29" i="2"/>
  <c r="BE89" i="2"/>
  <c r="DK148" i="2"/>
  <c r="DN147" i="2"/>
  <c r="BW149" i="2"/>
  <c r="BE84" i="2"/>
  <c r="BL40" i="2"/>
  <c r="BL145" i="2" s="1"/>
  <c r="CO145" i="2"/>
  <c r="CD67" i="2"/>
  <c r="CC67" i="2" s="1"/>
  <c r="DK67" i="2"/>
  <c r="DC67" i="2" s="1"/>
  <c r="CD143" i="2"/>
  <c r="BI149" i="2"/>
  <c r="DS153" i="2"/>
  <c r="DY143" i="2"/>
  <c r="DY145" i="2" s="1"/>
  <c r="CC82" i="2"/>
  <c r="DF152" i="2"/>
  <c r="DF154" i="2" s="1"/>
  <c r="Y145" i="2"/>
  <c r="DZ143" i="2"/>
  <c r="G152" i="2"/>
  <c r="BV143" i="2"/>
  <c r="CF154" i="2"/>
  <c r="AP154" i="2"/>
  <c r="Z154" i="2"/>
  <c r="DJ154" i="2"/>
  <c r="BM148" i="2"/>
  <c r="DV46" i="2"/>
  <c r="DC46" i="2" s="1"/>
  <c r="DU152" i="2"/>
  <c r="DU154" i="2" s="1"/>
  <c r="BE24" i="2"/>
  <c r="AE27" i="2"/>
  <c r="BD27" i="2" s="1"/>
  <c r="BE64" i="2"/>
  <c r="DV148" i="2"/>
  <c r="CA40" i="2"/>
  <c r="AT154" i="2"/>
  <c r="BV153" i="2"/>
  <c r="G151" i="2"/>
  <c r="BB145" i="2"/>
  <c r="BQ151" i="2"/>
  <c r="BQ154" i="2" s="1"/>
  <c r="BK122" i="2"/>
  <c r="BK145" i="2" s="1"/>
  <c r="BL154" i="2"/>
  <c r="DC126" i="2"/>
  <c r="BJ154" i="2"/>
  <c r="BG149" i="2"/>
  <c r="BI122" i="2"/>
  <c r="BV148" i="2"/>
  <c r="BE73" i="2"/>
  <c r="DY152" i="2"/>
  <c r="DY154" i="2" s="1"/>
  <c r="DR148" i="2"/>
  <c r="BS81" i="2"/>
  <c r="BS145" i="2" s="1"/>
  <c r="DP143" i="2"/>
  <c r="DP145" i="2" s="1"/>
  <c r="BE49" i="2"/>
  <c r="BO151" i="2"/>
  <c r="DV105" i="2"/>
  <c r="BV152" i="2"/>
  <c r="DC9" i="2"/>
  <c r="BW152" i="2"/>
  <c r="DC108" i="2"/>
  <c r="BE25" i="2"/>
  <c r="AY145" i="2"/>
  <c r="DC128" i="2"/>
  <c r="DT143" i="2"/>
  <c r="DC45" i="2"/>
  <c r="CB151" i="2"/>
  <c r="AF143" i="2"/>
  <c r="G206" i="2" s="1"/>
  <c r="AH154" i="2"/>
  <c r="AD154" i="2"/>
  <c r="CC94" i="2"/>
  <c r="BE61" i="2"/>
  <c r="DR151" i="2"/>
  <c r="BE91" i="2"/>
  <c r="BS151" i="2"/>
  <c r="BI148" i="2"/>
  <c r="BX151" i="2"/>
  <c r="AU145" i="2"/>
  <c r="DZ82" i="2"/>
  <c r="DC82" i="2" s="1"/>
  <c r="BE76" i="2"/>
  <c r="CA152" i="2"/>
  <c r="DO64" i="2"/>
  <c r="DO151" i="2" s="1"/>
  <c r="DO154" i="2" s="1"/>
  <c r="DC127" i="2"/>
  <c r="BU154" i="2"/>
  <c r="AF152" i="2"/>
  <c r="BC154" i="2"/>
  <c r="BS148" i="2"/>
  <c r="BX149" i="2"/>
  <c r="BI143" i="2"/>
  <c r="Q145" i="2"/>
  <c r="CA143" i="2"/>
  <c r="BE125" i="2"/>
  <c r="CB149" i="2"/>
  <c r="BE42" i="2"/>
  <c r="DC36" i="2"/>
  <c r="CD150" i="2"/>
  <c r="BE87" i="2"/>
  <c r="CB143" i="2"/>
  <c r="BE35" i="2"/>
  <c r="BG105" i="2"/>
  <c r="BE126" i="2"/>
  <c r="BE13" i="2"/>
  <c r="DI154" i="2"/>
  <c r="CC103" i="2"/>
  <c r="CT151" i="2"/>
  <c r="CT154" i="2" s="1"/>
  <c r="CT81" i="2"/>
  <c r="CT145" i="2" s="1"/>
  <c r="CD73" i="2"/>
  <c r="AE35" i="2"/>
  <c r="BD35" i="2" s="1"/>
  <c r="AE141" i="2"/>
  <c r="BD141" i="2" s="1"/>
  <c r="AE110" i="2"/>
  <c r="BD110" i="2" s="1"/>
  <c r="V154" i="2"/>
  <c r="BW153" i="2"/>
  <c r="CC127" i="2"/>
  <c r="AE117" i="2"/>
  <c r="BD117" i="2" s="1"/>
  <c r="DC110" i="2"/>
  <c r="CC104" i="2"/>
  <c r="CC45" i="2"/>
  <c r="AE63" i="2"/>
  <c r="BD63" i="2" s="1"/>
  <c r="DE153" i="2"/>
  <c r="AE99" i="2"/>
  <c r="BD99" i="2" s="1"/>
  <c r="CU153" i="2"/>
  <c r="CU154" i="2" s="1"/>
  <c r="CU105" i="2"/>
  <c r="CU145" i="2" s="1"/>
  <c r="CD87" i="2"/>
  <c r="DT87" i="2"/>
  <c r="AD145" i="2"/>
  <c r="CB152" i="2"/>
  <c r="CB40" i="2"/>
  <c r="DX145" i="2"/>
  <c r="BU81" i="2"/>
  <c r="BP81" i="2"/>
  <c r="CN145" i="2"/>
  <c r="CB148" i="2"/>
  <c r="DC34" i="2"/>
  <c r="CD43" i="2"/>
  <c r="CL81" i="2"/>
  <c r="CL145" i="2" s="1"/>
  <c r="DC129" i="2"/>
  <c r="BE135" i="2"/>
  <c r="DC125" i="2"/>
  <c r="BX122" i="2"/>
  <c r="CC124" i="2"/>
  <c r="DP154" i="2"/>
  <c r="BW143" i="2"/>
  <c r="AE74" i="2"/>
  <c r="BD74" i="2" s="1"/>
  <c r="AE111" i="2"/>
  <c r="BD111" i="2" s="1"/>
  <c r="DS105" i="2"/>
  <c r="AE115" i="2"/>
  <c r="BD115" i="2" s="1"/>
  <c r="CC108" i="2"/>
  <c r="BE36" i="2"/>
  <c r="AE90" i="2"/>
  <c r="BD90" i="2" s="1"/>
  <c r="CC74" i="2"/>
  <c r="BP148" i="2"/>
  <c r="CC62" i="2"/>
  <c r="DK43" i="2"/>
  <c r="DC43" i="2" s="1"/>
  <c r="CC65" i="2"/>
  <c r="CC46" i="2"/>
  <c r="DM81" i="2"/>
  <c r="BC145" i="2"/>
  <c r="AE128" i="2"/>
  <c r="BD128" i="2" s="1"/>
  <c r="BZ145" i="2"/>
  <c r="AE93" i="2"/>
  <c r="BD93" i="2" s="1"/>
  <c r="CV154" i="2"/>
  <c r="X145" i="2"/>
  <c r="BE67" i="2"/>
  <c r="AE129" i="2"/>
  <c r="BD129" i="2" s="1"/>
  <c r="AE121" i="2"/>
  <c r="BD121" i="2" s="1"/>
  <c r="CC121" i="2"/>
  <c r="R154" i="2"/>
  <c r="BO147" i="2"/>
  <c r="BO143" i="2"/>
  <c r="BO145" i="2" s="1"/>
  <c r="CB81" i="2"/>
  <c r="CC134" i="2"/>
  <c r="G143" i="2"/>
  <c r="G153" i="2"/>
  <c r="G105" i="2"/>
  <c r="AE116" i="2"/>
  <c r="BD116" i="2" s="1"/>
  <c r="CD148" i="2"/>
  <c r="CC129" i="2"/>
  <c r="DT122" i="2"/>
  <c r="BV151" i="2"/>
  <c r="AE118" i="2"/>
  <c r="BD118" i="2" s="1"/>
  <c r="G40" i="2"/>
  <c r="AE103" i="2"/>
  <c r="BD103" i="2" s="1"/>
  <c r="AF153" i="2"/>
  <c r="AE82" i="2"/>
  <c r="BD82" i="2" s="1"/>
  <c r="AF105" i="2"/>
  <c r="G204" i="2" s="1"/>
  <c r="AE49" i="2"/>
  <c r="BD49" i="2" s="1"/>
  <c r="BZ151" i="2"/>
  <c r="BZ154" i="2" s="1"/>
  <c r="DH154" i="2"/>
  <c r="AE32" i="2"/>
  <c r="BD32" i="2" s="1"/>
  <c r="AE46" i="2"/>
  <c r="BD46" i="2" s="1"/>
  <c r="DL81" i="2"/>
  <c r="AE130" i="2"/>
  <c r="BD130" i="2" s="1"/>
  <c r="AE126" i="2"/>
  <c r="BD126" i="2" s="1"/>
  <c r="O154" i="2"/>
  <c r="BG143" i="2"/>
  <c r="DD122" i="2"/>
  <c r="DD145" i="2" s="1"/>
  <c r="DN143" i="2"/>
  <c r="DN145" i="2" s="1"/>
  <c r="DS143" i="2"/>
  <c r="DA153" i="2"/>
  <c r="Q154" i="2"/>
  <c r="AE113" i="2"/>
  <c r="BD113" i="2" s="1"/>
  <c r="BT81" i="2"/>
  <c r="U145" i="2"/>
  <c r="DR147" i="2"/>
  <c r="AE96" i="2"/>
  <c r="BD96" i="2" s="1"/>
  <c r="DQ148" i="2"/>
  <c r="DQ154" i="2" s="1"/>
  <c r="BE96" i="2"/>
  <c r="AE54" i="2"/>
  <c r="BD54" i="2" s="1"/>
  <c r="BE129" i="2"/>
  <c r="AE78" i="2"/>
  <c r="BD78" i="2" s="1"/>
  <c r="AE67" i="2"/>
  <c r="BD67" i="2" s="1"/>
  <c r="BF122" i="2"/>
  <c r="BF145" i="2" s="1"/>
  <c r="BE93" i="2"/>
  <c r="CC22" i="2"/>
  <c r="DB22" i="2" s="1"/>
  <c r="G81" i="2"/>
  <c r="AF150" i="2"/>
  <c r="CC12" i="2"/>
  <c r="DB12" i="2" s="1"/>
  <c r="DZ103" i="2"/>
  <c r="DC103" i="2" s="1"/>
  <c r="DH145" i="2"/>
  <c r="AE18" i="2"/>
  <c r="BD18" i="2" s="1"/>
  <c r="DC93" i="2"/>
  <c r="DC5" i="2"/>
  <c r="AE65" i="2"/>
  <c r="BD65" i="2" s="1"/>
  <c r="DL151" i="2"/>
  <c r="BV40" i="2"/>
  <c r="AE38" i="2"/>
  <c r="BD38" i="2" s="1"/>
  <c r="BU40" i="2"/>
  <c r="DT40" i="2"/>
  <c r="DM147" i="2"/>
  <c r="DM143" i="2"/>
  <c r="BG150" i="2"/>
  <c r="BE16" i="2"/>
  <c r="AE101" i="2"/>
  <c r="BD101" i="2" s="1"/>
  <c r="CC98" i="2"/>
  <c r="CC29" i="2"/>
  <c r="DB29" i="2" s="1"/>
  <c r="AE29" i="2"/>
  <c r="BD29" i="2" s="1"/>
  <c r="BM40" i="2"/>
  <c r="CM154" i="2"/>
  <c r="CD147" i="2"/>
  <c r="DV149" i="2"/>
  <c r="BY122" i="2"/>
  <c r="BY145" i="2" s="1"/>
  <c r="BY149" i="2"/>
  <c r="BY154" i="2" s="1"/>
  <c r="BG153" i="2"/>
  <c r="AE127" i="2"/>
  <c r="BD127" i="2" s="1"/>
  <c r="AE120" i="2"/>
  <c r="BD120" i="2" s="1"/>
  <c r="CC101" i="2"/>
  <c r="DC41" i="2"/>
  <c r="G148" i="2"/>
  <c r="DC124" i="2"/>
  <c r="AF40" i="2"/>
  <c r="G202" i="2" s="1"/>
  <c r="AE135" i="2"/>
  <c r="BD135" i="2" s="1"/>
  <c r="BE124" i="2"/>
  <c r="BE111" i="2"/>
  <c r="AF149" i="2"/>
  <c r="AF122" i="2"/>
  <c r="G205" i="2" s="1"/>
  <c r="AE106" i="2"/>
  <c r="BD106" i="2" s="1"/>
  <c r="CC63" i="2"/>
  <c r="DZ148" i="2"/>
  <c r="CF145" i="2"/>
  <c r="DE152" i="2"/>
  <c r="BP147" i="2"/>
  <c r="BP143" i="2"/>
  <c r="CE154" i="2"/>
  <c r="G147" i="2"/>
  <c r="G122" i="2"/>
  <c r="DE143" i="2"/>
  <c r="CB122" i="2"/>
  <c r="AE98" i="2"/>
  <c r="BD98" i="2" s="1"/>
  <c r="BV105" i="2"/>
  <c r="CC125" i="2"/>
  <c r="BE110" i="2"/>
  <c r="BE106" i="2"/>
  <c r="CC78" i="2"/>
  <c r="CS154" i="2"/>
  <c r="CC111" i="2"/>
  <c r="CC95" i="2"/>
  <c r="BV150" i="2"/>
  <c r="AP145" i="2"/>
  <c r="AE80" i="2"/>
  <c r="BD80" i="2" s="1"/>
  <c r="AQ154" i="2"/>
  <c r="BF149" i="2"/>
  <c r="CB153" i="2"/>
  <c r="CB105" i="2"/>
  <c r="AE22" i="2"/>
  <c r="BD22" i="2" s="1"/>
  <c r="AW145" i="2"/>
  <c r="CD84" i="2"/>
  <c r="AE13" i="2"/>
  <c r="BD13" i="2" s="1"/>
  <c r="AE45" i="2"/>
  <c r="BD45" i="2" s="1"/>
  <c r="BQ81" i="2"/>
  <c r="BQ145" i="2" s="1"/>
  <c r="AE61" i="2"/>
  <c r="BD61" i="2" s="1"/>
  <c r="CD44" i="2"/>
  <c r="DK44" i="2"/>
  <c r="DC44" i="2" s="1"/>
  <c r="I145" i="2"/>
  <c r="AF151" i="2"/>
  <c r="AE41" i="2"/>
  <c r="BD41" i="2" s="1"/>
  <c r="AF81" i="2"/>
  <c r="G203" i="2" s="1"/>
  <c r="AF148" i="2"/>
  <c r="G150" i="2"/>
  <c r="CC57" i="2"/>
  <c r="CD61" i="2"/>
  <c r="DK61" i="2"/>
  <c r="DC61" i="2" s="1"/>
  <c r="CC130" i="2"/>
  <c r="CC120" i="2"/>
  <c r="AE6" i="2"/>
  <c r="BD6" i="2" s="1"/>
  <c r="AE124" i="2"/>
  <c r="BD124" i="2" s="1"/>
  <c r="AF147" i="2"/>
  <c r="P145" i="2"/>
  <c r="CC25" i="2"/>
  <c r="DB25" i="2" s="1"/>
  <c r="AE109" i="2"/>
  <c r="BD109" i="2" s="1"/>
  <c r="Y154" i="2"/>
  <c r="AE83" i="2"/>
  <c r="BD83" i="2" s="1"/>
  <c r="DC111" i="2"/>
  <c r="DA105" i="2"/>
  <c r="DU143" i="2"/>
  <c r="BR143" i="2"/>
  <c r="BR145" i="2" s="1"/>
  <c r="G149" i="2"/>
  <c r="DD149" i="2"/>
  <c r="AE125" i="2"/>
  <c r="BD125" i="2" s="1"/>
  <c r="CC110" i="2"/>
  <c r="AE76" i="2"/>
  <c r="BD76" i="2" s="1"/>
  <c r="CV145" i="2"/>
  <c r="BT147" i="2"/>
  <c r="BT154" i="2" s="1"/>
  <c r="BM143" i="2"/>
  <c r="CC80" i="2"/>
  <c r="CC117" i="2"/>
  <c r="AE104" i="2"/>
  <c r="BD104" i="2" s="1"/>
  <c r="CC76" i="2"/>
  <c r="AE43" i="2"/>
  <c r="BD43" i="2" s="1"/>
  <c r="CD18" i="2"/>
  <c r="DE18" i="2"/>
  <c r="BG40" i="2"/>
  <c r="DE105" i="2"/>
  <c r="CC36" i="2"/>
  <c r="DB36" i="2" s="1"/>
  <c r="BN148" i="2"/>
  <c r="CC21" i="2"/>
  <c r="DB21" i="2" s="1"/>
  <c r="DS73" i="2"/>
  <c r="AE44" i="2"/>
  <c r="BD44" i="2" s="1"/>
  <c r="DI122" i="2"/>
  <c r="DI145" i="2" s="1"/>
  <c r="BM151" i="2"/>
  <c r="BM81" i="2"/>
  <c r="BN40" i="2"/>
  <c r="CC14" i="2"/>
  <c r="DB14" i="2" s="1"/>
  <c r="AE14" i="2"/>
  <c r="BD14" i="2" s="1"/>
  <c r="DG145" i="2"/>
  <c r="BS44" i="1"/>
  <c r="AT150" i="1"/>
  <c r="CL42" i="1"/>
  <c r="DK42" i="1" s="1"/>
  <c r="DZ42" i="1"/>
  <c r="DS35" i="1"/>
  <c r="DS39" i="1" s="1"/>
  <c r="CT39" i="1"/>
  <c r="DU135" i="1"/>
  <c r="DC135" i="1" s="1"/>
  <c r="CV151" i="1"/>
  <c r="CV153" i="1" s="1"/>
  <c r="CD128" i="1"/>
  <c r="DK128" i="1"/>
  <c r="AF112" i="1"/>
  <c r="AE112" i="1" s="1"/>
  <c r="BD112" i="1" s="1"/>
  <c r="BY112" i="1"/>
  <c r="CD73" i="1"/>
  <c r="CC73" i="1" s="1"/>
  <c r="DB73" i="1" s="1"/>
  <c r="AQ147" i="1"/>
  <c r="CD111" i="1"/>
  <c r="CC111" i="1" s="1"/>
  <c r="DB111" i="1" s="1"/>
  <c r="DA46" i="1"/>
  <c r="DA80" i="1" s="1"/>
  <c r="DK46" i="1"/>
  <c r="CD32" i="1"/>
  <c r="AP151" i="1"/>
  <c r="BO10" i="1"/>
  <c r="BE10" i="1" s="1"/>
  <c r="AP39" i="1"/>
  <c r="AS150" i="1"/>
  <c r="CT147" i="1"/>
  <c r="AT146" i="1"/>
  <c r="CV142" i="1"/>
  <c r="BI132" i="1"/>
  <c r="BE132" i="1" s="1"/>
  <c r="EC132" i="1" s="1"/>
  <c r="AF131" i="1"/>
  <c r="EC131" i="1" s="1"/>
  <c r="AJ147" i="1"/>
  <c r="AJ153" i="1" s="1"/>
  <c r="AJ142" i="1"/>
  <c r="AJ144" i="1" s="1"/>
  <c r="DZ90" i="1"/>
  <c r="DC90" i="1" s="1"/>
  <c r="ED90" i="1" s="1"/>
  <c r="CD90" i="1"/>
  <c r="CC90" i="1" s="1"/>
  <c r="DB90" i="1" s="1"/>
  <c r="CL66" i="1"/>
  <c r="CN80" i="1"/>
  <c r="AF50" i="1"/>
  <c r="AE50" i="1" s="1"/>
  <c r="BD50" i="1" s="1"/>
  <c r="BC150" i="1"/>
  <c r="CB35" i="1"/>
  <c r="BE35" i="1" s="1"/>
  <c r="AF35" i="1"/>
  <c r="CZ39" i="1"/>
  <c r="CZ144" i="1" s="1"/>
  <c r="CD11" i="1"/>
  <c r="CC11" i="1" s="1"/>
  <c r="DB11" i="1" s="1"/>
  <c r="DY11" i="1"/>
  <c r="AF75" i="1"/>
  <c r="AF135" i="1"/>
  <c r="AE135" i="1" s="1"/>
  <c r="BD135" i="1" s="1"/>
  <c r="DK43" i="1"/>
  <c r="CD43" i="1"/>
  <c r="AF81" i="1"/>
  <c r="BG81" i="1"/>
  <c r="AR80" i="1"/>
  <c r="CD33" i="1"/>
  <c r="DE33" i="1"/>
  <c r="CD6" i="1"/>
  <c r="CC6" i="1" s="1"/>
  <c r="DB6" i="1" s="1"/>
  <c r="DT6" i="1"/>
  <c r="DC6" i="1" s="1"/>
  <c r="CZ151" i="1"/>
  <c r="CR150" i="1"/>
  <c r="AR150" i="1"/>
  <c r="AR153" i="1" s="1"/>
  <c r="CN142" i="1"/>
  <c r="CN146" i="1"/>
  <c r="CN153" i="1" s="1"/>
  <c r="CD107" i="1"/>
  <c r="CC107" i="1" s="1"/>
  <c r="DB107" i="1" s="1"/>
  <c r="DS88" i="1"/>
  <c r="DS152" i="1" s="1"/>
  <c r="AQ80" i="1"/>
  <c r="AP80" i="1"/>
  <c r="AP150" i="1"/>
  <c r="CD63" i="1"/>
  <c r="DO63" i="1"/>
  <c r="DC63" i="1" s="1"/>
  <c r="ED63" i="1" s="1"/>
  <c r="DT147" i="1"/>
  <c r="CD125" i="1"/>
  <c r="CZ147" i="1"/>
  <c r="DQ44" i="1"/>
  <c r="BO126" i="1"/>
  <c r="AP147" i="1"/>
  <c r="AI153" i="1"/>
  <c r="AQ150" i="1"/>
  <c r="CO146" i="1"/>
  <c r="CO153" i="1" s="1"/>
  <c r="CO154" i="1" s="1"/>
  <c r="AT142" i="1"/>
  <c r="CT104" i="1"/>
  <c r="BV98" i="1"/>
  <c r="BE98" i="1" s="1"/>
  <c r="EC98" i="1" s="1"/>
  <c r="AF98" i="1"/>
  <c r="CD81" i="1"/>
  <c r="AF60" i="1"/>
  <c r="CX106" i="1"/>
  <c r="DW106" i="1" s="1"/>
  <c r="DD106" i="1"/>
  <c r="DA149" i="1"/>
  <c r="DZ140" i="1"/>
  <c r="DZ149" i="1" s="1"/>
  <c r="BE22" i="1"/>
  <c r="CF140" i="1"/>
  <c r="CU142" i="1"/>
  <c r="DT127" i="1"/>
  <c r="BC152" i="1"/>
  <c r="DM126" i="1"/>
  <c r="AN146" i="1"/>
  <c r="BM123" i="1"/>
  <c r="BM146" i="1" s="1"/>
  <c r="CD112" i="1"/>
  <c r="CC112" i="1" s="1"/>
  <c r="DB112" i="1" s="1"/>
  <c r="CD38" i="1"/>
  <c r="CD37" i="1"/>
  <c r="CC37" i="1" s="1"/>
  <c r="DB37" i="1" s="1"/>
  <c r="AF23" i="1"/>
  <c r="AE23" i="1" s="1"/>
  <c r="BD23" i="1" s="1"/>
  <c r="CT152" i="1"/>
  <c r="CU147" i="1"/>
  <c r="DZ109" i="1"/>
  <c r="DA121" i="1"/>
  <c r="AF105" i="1"/>
  <c r="BY105" i="1"/>
  <c r="BM64" i="1"/>
  <c r="AF64" i="1"/>
  <c r="AE64" i="1" s="1"/>
  <c r="BD64" i="1" s="1"/>
  <c r="AF61" i="1"/>
  <c r="AQ142" i="1"/>
  <c r="DL123" i="1"/>
  <c r="AF109" i="1"/>
  <c r="DC73" i="1"/>
  <c r="CU152" i="1"/>
  <c r="CP150" i="1"/>
  <c r="BB153" i="1"/>
  <c r="AF140" i="1"/>
  <c r="AE140" i="1" s="1"/>
  <c r="BD140" i="1" s="1"/>
  <c r="BY118" i="1"/>
  <c r="BE118" i="1" s="1"/>
  <c r="EC118" i="1" s="1"/>
  <c r="BY114" i="1"/>
  <c r="BE114" i="1" s="1"/>
  <c r="EC114" i="1" s="1"/>
  <c r="CU104" i="1"/>
  <c r="AF102" i="1"/>
  <c r="CD95" i="1"/>
  <c r="BW152" i="1"/>
  <c r="CD86" i="1"/>
  <c r="CC86" i="1" s="1"/>
  <c r="DB86" i="1" s="1"/>
  <c r="AF86" i="1"/>
  <c r="AE86" i="1" s="1"/>
  <c r="BD86" i="1" s="1"/>
  <c r="AT80" i="1"/>
  <c r="AT144" i="1" s="1"/>
  <c r="DV51" i="1"/>
  <c r="DC51" i="1" s="1"/>
  <c r="ED51" i="1" s="1"/>
  <c r="CD48" i="1"/>
  <c r="CC48" i="1" s="1"/>
  <c r="DB48" i="1" s="1"/>
  <c r="AF41" i="1"/>
  <c r="DZ35" i="1"/>
  <c r="CB34" i="1"/>
  <c r="AF33" i="1"/>
  <c r="AE33" i="1" s="1"/>
  <c r="BD33" i="1" s="1"/>
  <c r="DC32" i="1"/>
  <c r="ED32" i="1" s="1"/>
  <c r="AF28" i="1"/>
  <c r="AE28" i="1" s="1"/>
  <c r="BD28" i="1" s="1"/>
  <c r="BG23" i="1"/>
  <c r="BE23" i="1" s="1"/>
  <c r="EC23" i="1" s="1"/>
  <c r="BH21" i="1"/>
  <c r="BH151" i="1" s="1"/>
  <c r="AF12" i="1"/>
  <c r="CD10" i="1"/>
  <c r="AW152" i="1"/>
  <c r="DM147" i="1"/>
  <c r="DC113" i="1"/>
  <c r="ED113" i="1" s="1"/>
  <c r="DZ111" i="1"/>
  <c r="DC111" i="1" s="1"/>
  <c r="DC97" i="1"/>
  <c r="ED97" i="1" s="1"/>
  <c r="DC86" i="1"/>
  <c r="DA83" i="1"/>
  <c r="CD83" i="1" s="1"/>
  <c r="AF77" i="1"/>
  <c r="CW75" i="1"/>
  <c r="DV75" i="1" s="1"/>
  <c r="BX51" i="1"/>
  <c r="BE51" i="1" s="1"/>
  <c r="EC51" i="1" s="1"/>
  <c r="CD23" i="1"/>
  <c r="CD21" i="1"/>
  <c r="BE18" i="1"/>
  <c r="EC18" i="1" s="1"/>
  <c r="AF17" i="1"/>
  <c r="AE17" i="1" s="1"/>
  <c r="BD17" i="1" s="1"/>
  <c r="BU39" i="1"/>
  <c r="EC9" i="1"/>
  <c r="AF22" i="1"/>
  <c r="AE22" i="1" s="1"/>
  <c r="BD22" i="1" s="1"/>
  <c r="BA153" i="1"/>
  <c r="BA154" i="1" s="1"/>
  <c r="CH153" i="1"/>
  <c r="CH154" i="1" s="1"/>
  <c r="AS153" i="1"/>
  <c r="AS154" i="1" s="1"/>
  <c r="AQ146" i="1"/>
  <c r="CD139" i="1"/>
  <c r="DC129" i="1"/>
  <c r="CB126" i="1"/>
  <c r="AF119" i="1"/>
  <c r="AE119" i="1" s="1"/>
  <c r="BD119" i="1" s="1"/>
  <c r="BE97" i="1"/>
  <c r="CV104" i="1"/>
  <c r="DZ78" i="1"/>
  <c r="DC78" i="1" s="1"/>
  <c r="ED78" i="1" s="1"/>
  <c r="DZ77" i="1"/>
  <c r="BE56" i="1"/>
  <c r="AY150" i="1"/>
  <c r="DC53" i="1"/>
  <c r="ED53" i="1" s="1"/>
  <c r="DC47" i="1"/>
  <c r="ED47" i="1" s="1"/>
  <c r="AH39" i="1"/>
  <c r="AH151" i="1"/>
  <c r="CK153" i="1"/>
  <c r="CK154" i="1" s="1"/>
  <c r="BB142" i="1"/>
  <c r="CD129" i="1"/>
  <c r="BO147" i="1"/>
  <c r="DC99" i="1"/>
  <c r="ED99" i="1" s="1"/>
  <c r="AF99" i="1"/>
  <c r="EC99" i="1" s="1"/>
  <c r="AF97" i="1"/>
  <c r="AE97" i="1" s="1"/>
  <c r="BD97" i="1" s="1"/>
  <c r="CD96" i="1"/>
  <c r="ED96" i="1" s="1"/>
  <c r="DU95" i="1"/>
  <c r="AF95" i="1"/>
  <c r="AE95" i="1" s="1"/>
  <c r="BD95" i="1" s="1"/>
  <c r="DC84" i="1"/>
  <c r="ED84" i="1" s="1"/>
  <c r="BX77" i="1"/>
  <c r="CD62" i="1"/>
  <c r="CC62" i="1" s="1"/>
  <c r="DB62" i="1" s="1"/>
  <c r="AF55" i="1"/>
  <c r="BV80" i="1"/>
  <c r="CA11" i="1"/>
  <c r="CA151" i="1" s="1"/>
  <c r="BV9" i="1"/>
  <c r="BE9" i="1" s="1"/>
  <c r="DC9" i="1"/>
  <c r="DD151" i="1"/>
  <c r="AK154" i="1"/>
  <c r="BR142" i="1"/>
  <c r="CD133" i="1"/>
  <c r="DE133" i="1"/>
  <c r="DC133" i="1" s="1"/>
  <c r="CF151" i="1"/>
  <c r="AE132" i="1"/>
  <c r="BD132" i="1" s="1"/>
  <c r="J154" i="1"/>
  <c r="BY152" i="1"/>
  <c r="BI152" i="1"/>
  <c r="BI104" i="1"/>
  <c r="BY113" i="1"/>
  <c r="BE113" i="1" s="1"/>
  <c r="AF113" i="1"/>
  <c r="DN152" i="1"/>
  <c r="DN104" i="1"/>
  <c r="EB85" i="1"/>
  <c r="CC85" i="1"/>
  <c r="DB85" i="1" s="1"/>
  <c r="BF142" i="1"/>
  <c r="BF146" i="1"/>
  <c r="DW116" i="1"/>
  <c r="DC116" i="1" s="1"/>
  <c r="BE100" i="1"/>
  <c r="EC100" i="1" s="1"/>
  <c r="BL150" i="1"/>
  <c r="BV30" i="1"/>
  <c r="AF30" i="1"/>
  <c r="BM39" i="1"/>
  <c r="BM151" i="1"/>
  <c r="W153" i="1"/>
  <c r="DC137" i="1"/>
  <c r="BX146" i="1"/>
  <c r="AP142" i="1"/>
  <c r="AP146" i="1"/>
  <c r="AP153" i="1" s="1"/>
  <c r="G124" i="1"/>
  <c r="EB124" i="1" s="1"/>
  <c r="DM124" i="1"/>
  <c r="DC117" i="1"/>
  <c r="ED117" i="1" s="1"/>
  <c r="DG148" i="1"/>
  <c r="AE117" i="1"/>
  <c r="BD117" i="1" s="1"/>
  <c r="DF80" i="1"/>
  <c r="DM151" i="1"/>
  <c r="AW151" i="1"/>
  <c r="V153" i="1"/>
  <c r="N153" i="1"/>
  <c r="N154" i="1" s="1"/>
  <c r="R142" i="1"/>
  <c r="R144" i="1" s="1"/>
  <c r="R154" i="1" s="1"/>
  <c r="DZ128" i="1"/>
  <c r="DC128" i="1" s="1"/>
  <c r="AD147" i="1"/>
  <c r="CB128" i="1"/>
  <c r="DA147" i="1"/>
  <c r="DZ127" i="1"/>
  <c r="DZ147" i="1" s="1"/>
  <c r="DA142" i="1"/>
  <c r="CD127" i="1"/>
  <c r="BJ142" i="1"/>
  <c r="BJ147" i="1"/>
  <c r="BU126" i="1"/>
  <c r="AV142" i="1"/>
  <c r="AV147" i="1"/>
  <c r="AV153" i="1" s="1"/>
  <c r="DQ124" i="1"/>
  <c r="DQ142" i="1" s="1"/>
  <c r="CR146" i="1"/>
  <c r="BW146" i="1"/>
  <c r="BC142" i="1"/>
  <c r="BC146" i="1"/>
  <c r="AO142" i="1"/>
  <c r="AO144" i="1" s="1"/>
  <c r="AO146" i="1"/>
  <c r="AO153" i="1" s="1"/>
  <c r="DN121" i="1"/>
  <c r="DN148" i="1"/>
  <c r="DE121" i="1"/>
  <c r="DE148" i="1"/>
  <c r="DU148" i="1"/>
  <c r="DM148" i="1"/>
  <c r="BO148" i="1"/>
  <c r="BO121" i="1"/>
  <c r="BG121" i="1"/>
  <c r="BG148" i="1"/>
  <c r="DI150" i="1"/>
  <c r="DK55" i="1"/>
  <c r="CD55" i="1"/>
  <c r="DP142" i="1"/>
  <c r="DP147" i="1"/>
  <c r="DT148" i="1"/>
  <c r="DT121" i="1"/>
  <c r="DL148" i="1"/>
  <c r="DL121" i="1"/>
  <c r="BV148" i="1"/>
  <c r="BN148" i="1"/>
  <c r="BE106" i="1"/>
  <c r="DU80" i="1"/>
  <c r="DU150" i="1"/>
  <c r="BE64" i="1"/>
  <c r="EC64" i="1" s="1"/>
  <c r="DI151" i="1"/>
  <c r="DI142" i="1"/>
  <c r="AF115" i="1"/>
  <c r="BY115" i="1"/>
  <c r="BE115" i="1" s="1"/>
  <c r="DC93" i="1"/>
  <c r="ED93" i="1" s="1"/>
  <c r="DG151" i="1"/>
  <c r="BN151" i="1"/>
  <c r="AM153" i="1"/>
  <c r="AM154" i="1" s="1"/>
  <c r="AE131" i="1"/>
  <c r="BD131" i="1" s="1"/>
  <c r="DV109" i="1"/>
  <c r="G109" i="1"/>
  <c r="EB109" i="1" s="1"/>
  <c r="Z148" i="1"/>
  <c r="BX109" i="1"/>
  <c r="AF107" i="1"/>
  <c r="BF107" i="1"/>
  <c r="AG148" i="1"/>
  <c r="AG153" i="1" s="1"/>
  <c r="EB83" i="1"/>
  <c r="DR152" i="1"/>
  <c r="DR104" i="1"/>
  <c r="DJ104" i="1"/>
  <c r="DJ152" i="1"/>
  <c r="BE139" i="1"/>
  <c r="DE147" i="1"/>
  <c r="BI142" i="1"/>
  <c r="DU146" i="1"/>
  <c r="DV142" i="1"/>
  <c r="DZ122" i="1"/>
  <c r="CB122" i="1"/>
  <c r="EB114" i="1"/>
  <c r="CC114" i="1"/>
  <c r="DB114" i="1" s="1"/>
  <c r="DC65" i="1"/>
  <c r="ED65" i="1" s="1"/>
  <c r="U153" i="1"/>
  <c r="M153" i="1"/>
  <c r="M154" i="1" s="1"/>
  <c r="BI147" i="1"/>
  <c r="AK153" i="1"/>
  <c r="DE140" i="1"/>
  <c r="DC140" i="1" s="1"/>
  <c r="CF149" i="1"/>
  <c r="DC139" i="1"/>
  <c r="ED139" i="1" s="1"/>
  <c r="BT151" i="1"/>
  <c r="BL142" i="1"/>
  <c r="BL151" i="1"/>
  <c r="DC130" i="1"/>
  <c r="ED130" i="1" s="1"/>
  <c r="BS147" i="1"/>
  <c r="DH121" i="1"/>
  <c r="DH148" i="1"/>
  <c r="DH153" i="1" s="1"/>
  <c r="BE117" i="1"/>
  <c r="EC117" i="1" s="1"/>
  <c r="BE116" i="1"/>
  <c r="EC116" i="1" s="1"/>
  <c r="BQ121" i="1"/>
  <c r="BI121" i="1"/>
  <c r="AF92" i="1"/>
  <c r="BG92" i="1"/>
  <c r="AH104" i="1"/>
  <c r="AH152" i="1"/>
  <c r="BP152" i="1"/>
  <c r="BH152" i="1"/>
  <c r="BZ104" i="1"/>
  <c r="BZ152" i="1"/>
  <c r="BR104" i="1"/>
  <c r="BR152" i="1"/>
  <c r="BJ104" i="1"/>
  <c r="BJ152" i="1"/>
  <c r="BZ150" i="1"/>
  <c r="BR150" i="1"/>
  <c r="BR153" i="1" s="1"/>
  <c r="BJ150" i="1"/>
  <c r="DG150" i="1"/>
  <c r="CD44" i="1"/>
  <c r="DP44" i="1"/>
  <c r="CQ80" i="1"/>
  <c r="CQ144" i="1" s="1"/>
  <c r="CQ150" i="1"/>
  <c r="CQ153" i="1" s="1"/>
  <c r="DC64" i="1"/>
  <c r="ED64" i="1" s="1"/>
  <c r="DD150" i="1"/>
  <c r="DD80" i="1"/>
  <c r="DT34" i="1"/>
  <c r="CU151" i="1"/>
  <c r="DV151" i="1"/>
  <c r="CY153" i="1"/>
  <c r="CY154" i="1" s="1"/>
  <c r="EC139" i="1"/>
  <c r="BE138" i="1"/>
  <c r="EC138" i="1" s="1"/>
  <c r="BE137" i="1"/>
  <c r="EC137" i="1" s="1"/>
  <c r="DD142" i="1"/>
  <c r="AF136" i="1"/>
  <c r="BW136" i="1"/>
  <c r="AX151" i="1"/>
  <c r="DT142" i="1"/>
  <c r="BE135" i="1"/>
  <c r="BF151" i="1"/>
  <c r="DX147" i="1"/>
  <c r="DF142" i="1"/>
  <c r="G122" i="1"/>
  <c r="DS148" i="1"/>
  <c r="DS121" i="1"/>
  <c r="CD115" i="1"/>
  <c r="DW115" i="1"/>
  <c r="DC115" i="1" s="1"/>
  <c r="AX121" i="1"/>
  <c r="BW110" i="1"/>
  <c r="BW121" i="1" s="1"/>
  <c r="H154" i="1"/>
  <c r="DD152" i="1"/>
  <c r="CC89" i="1"/>
  <c r="DB89" i="1" s="1"/>
  <c r="AE89" i="1"/>
  <c r="BD89" i="1" s="1"/>
  <c r="CP153" i="1"/>
  <c r="AL153" i="1"/>
  <c r="AL154" i="1" s="1"/>
  <c r="S153" i="1"/>
  <c r="S154" i="1" s="1"/>
  <c r="BC149" i="1"/>
  <c r="CB140" i="1"/>
  <c r="DV147" i="1"/>
  <c r="CM147" i="1"/>
  <c r="CM153" i="1" s="1"/>
  <c r="CD126" i="1"/>
  <c r="DL125" i="1"/>
  <c r="P147" i="1"/>
  <c r="P153" i="1" s="1"/>
  <c r="BN125" i="1"/>
  <c r="BP123" i="1"/>
  <c r="DN123" i="1"/>
  <c r="DN146" i="1" s="1"/>
  <c r="R146" i="1"/>
  <c r="R153" i="1" s="1"/>
  <c r="DC89" i="1"/>
  <c r="ED89" i="1" s="1"/>
  <c r="BW80" i="1"/>
  <c r="BW150" i="1"/>
  <c r="BO80" i="1"/>
  <c r="BO150" i="1"/>
  <c r="BG80" i="1"/>
  <c r="BG150" i="1"/>
  <c r="CG153" i="1"/>
  <c r="AD142" i="1"/>
  <c r="T154" i="1"/>
  <c r="AH142" i="1"/>
  <c r="AH149" i="1"/>
  <c r="CC137" i="1"/>
  <c r="DB137" i="1" s="1"/>
  <c r="ED137" i="1"/>
  <c r="BE134" i="1"/>
  <c r="AN142" i="1"/>
  <c r="AN147" i="1"/>
  <c r="BM125" i="1"/>
  <c r="G125" i="1"/>
  <c r="EB125" i="1" s="1"/>
  <c r="O147" i="1"/>
  <c r="O153" i="1" s="1"/>
  <c r="DK125" i="1"/>
  <c r="CS146" i="1"/>
  <c r="CS153" i="1" s="1"/>
  <c r="CS142" i="1"/>
  <c r="CS144" i="1" s="1"/>
  <c r="DR123" i="1"/>
  <c r="BO123" i="1"/>
  <c r="DM123" i="1"/>
  <c r="Q142" i="1"/>
  <c r="Q144" i="1" s="1"/>
  <c r="Q154" i="1" s="1"/>
  <c r="Q146" i="1"/>
  <c r="Q153" i="1" s="1"/>
  <c r="CN144" i="1"/>
  <c r="DG121" i="1"/>
  <c r="DL152" i="1"/>
  <c r="DL104" i="1"/>
  <c r="AE74" i="1"/>
  <c r="BD74" i="1" s="1"/>
  <c r="AF71" i="1"/>
  <c r="BM71" i="1"/>
  <c r="BE71" i="1" s="1"/>
  <c r="DE80" i="1"/>
  <c r="CD124" i="1"/>
  <c r="AU142" i="1"/>
  <c r="AU144" i="1" s="1"/>
  <c r="AU146" i="1"/>
  <c r="AU153" i="1" s="1"/>
  <c r="DC119" i="1"/>
  <c r="DC114" i="1"/>
  <c r="ED114" i="1" s="1"/>
  <c r="AF111" i="1"/>
  <c r="BY111" i="1"/>
  <c r="BE111" i="1" s="1"/>
  <c r="AZ148" i="1"/>
  <c r="AZ153" i="1" s="1"/>
  <c r="AZ121" i="1"/>
  <c r="AZ144" i="1" s="1"/>
  <c r="BZ121" i="1"/>
  <c r="BR121" i="1"/>
  <c r="BJ121" i="1"/>
  <c r="CC100" i="1"/>
  <c r="DB100" i="1" s="1"/>
  <c r="EB100" i="1"/>
  <c r="AE100" i="1"/>
  <c r="BD100" i="1" s="1"/>
  <c r="CC99" i="1"/>
  <c r="DB99" i="1" s="1"/>
  <c r="BE89" i="1"/>
  <c r="EC89" i="1" s="1"/>
  <c r="BF104" i="1"/>
  <c r="DD104" i="1"/>
  <c r="BW104" i="1"/>
  <c r="BO104" i="1"/>
  <c r="BE82" i="1"/>
  <c r="EC82" i="1" s="1"/>
  <c r="BN104" i="1"/>
  <c r="CR144" i="1"/>
  <c r="DC71" i="1"/>
  <c r="ED71" i="1" s="1"/>
  <c r="CC25" i="1"/>
  <c r="DB25" i="1" s="1"/>
  <c r="BF152" i="1"/>
  <c r="CC131" i="1"/>
  <c r="DB131" i="1" s="1"/>
  <c r="ED131" i="1"/>
  <c r="DO147" i="1"/>
  <c r="BW126" i="1"/>
  <c r="BW147" i="1" s="1"/>
  <c r="AX142" i="1"/>
  <c r="AX147" i="1"/>
  <c r="DJ147" i="1"/>
  <c r="CA147" i="1"/>
  <c r="BT124" i="1"/>
  <c r="DR124" i="1"/>
  <c r="DW142" i="1"/>
  <c r="DO142" i="1"/>
  <c r="DG142" i="1"/>
  <c r="BP121" i="1"/>
  <c r="CD119" i="1"/>
  <c r="DP121" i="1"/>
  <c r="CC109" i="1"/>
  <c r="DB109" i="1" s="1"/>
  <c r="DO121" i="1"/>
  <c r="DQ148" i="1"/>
  <c r="DI148" i="1"/>
  <c r="DC96" i="1"/>
  <c r="CC83" i="1"/>
  <c r="DB83" i="1" s="1"/>
  <c r="BT104" i="1"/>
  <c r="DC68" i="1"/>
  <c r="ED68" i="1" s="1"/>
  <c r="BE68" i="1"/>
  <c r="EC68" i="1" s="1"/>
  <c r="CL146" i="1"/>
  <c r="CL142" i="1"/>
  <c r="BE130" i="1"/>
  <c r="BF147" i="1"/>
  <c r="BH142" i="1"/>
  <c r="AF124" i="1"/>
  <c r="DS142" i="1"/>
  <c r="BS142" i="1"/>
  <c r="BK142" i="1"/>
  <c r="CE148" i="1"/>
  <c r="CE153" i="1" s="1"/>
  <c r="CE121" i="1"/>
  <c r="CE144" i="1" s="1"/>
  <c r="AF110" i="1"/>
  <c r="EC108" i="1"/>
  <c r="BY107" i="1"/>
  <c r="DW107" i="1"/>
  <c r="AA148" i="1"/>
  <c r="AA153" i="1" s="1"/>
  <c r="AA154" i="1" s="1"/>
  <c r="DE102" i="1"/>
  <c r="DA102" i="1"/>
  <c r="CC94" i="1"/>
  <c r="DB94" i="1" s="1"/>
  <c r="AE94" i="1"/>
  <c r="BD94" i="1" s="1"/>
  <c r="DV92" i="1"/>
  <c r="DV152" i="1" s="1"/>
  <c r="Z104" i="1"/>
  <c r="Z144" i="1" s="1"/>
  <c r="G92" i="1"/>
  <c r="EB92" i="1" s="1"/>
  <c r="DC91" i="1"/>
  <c r="ED91" i="1" s="1"/>
  <c r="DW104" i="1"/>
  <c r="AF87" i="1"/>
  <c r="BV87" i="1"/>
  <c r="BE87" i="1" s="1"/>
  <c r="BQ104" i="1"/>
  <c r="CB79" i="1"/>
  <c r="DZ79" i="1"/>
  <c r="AE77" i="1"/>
  <c r="BD77" i="1" s="1"/>
  <c r="BP80" i="1"/>
  <c r="BP150" i="1"/>
  <c r="BH80" i="1"/>
  <c r="BH150" i="1"/>
  <c r="DW80" i="1"/>
  <c r="DW150" i="1"/>
  <c r="DC58" i="1"/>
  <c r="ED58" i="1" s="1"/>
  <c r="AY80" i="1"/>
  <c r="BM42" i="1"/>
  <c r="AN80" i="1"/>
  <c r="AF42" i="1"/>
  <c r="AN150" i="1"/>
  <c r="DW39" i="1"/>
  <c r="DO39" i="1"/>
  <c r="DG39" i="1"/>
  <c r="DG144" i="1" s="1"/>
  <c r="DC5" i="1"/>
  <c r="ED5" i="1" s="1"/>
  <c r="DU39" i="1"/>
  <c r="BC39" i="1"/>
  <c r="CB4" i="1"/>
  <c r="BE4" i="1" s="1"/>
  <c r="BZ148" i="1"/>
  <c r="BJ148" i="1"/>
  <c r="DW149" i="1"/>
  <c r="DO149" i="1"/>
  <c r="AF127" i="1"/>
  <c r="BV127" i="1"/>
  <c r="BV142" i="1" s="1"/>
  <c r="AW142" i="1"/>
  <c r="AW147" i="1"/>
  <c r="BN126" i="1"/>
  <c r="DL126" i="1"/>
  <c r="BG147" i="1"/>
  <c r="CB124" i="1"/>
  <c r="CB146" i="1" s="1"/>
  <c r="BZ142" i="1"/>
  <c r="DC120" i="1"/>
  <c r="ED120" i="1" s="1"/>
  <c r="AF120" i="1"/>
  <c r="BF120" i="1"/>
  <c r="BE120" i="1" s="1"/>
  <c r="CD118" i="1"/>
  <c r="DD118" i="1"/>
  <c r="DC118" i="1" s="1"/>
  <c r="CD116" i="1"/>
  <c r="AY148" i="1"/>
  <c r="AY153" i="1" s="1"/>
  <c r="AY121" i="1"/>
  <c r="AE108" i="1"/>
  <c r="BD108" i="1" s="1"/>
  <c r="BS121" i="1"/>
  <c r="G107" i="1"/>
  <c r="BU148" i="1"/>
  <c r="BM148" i="1"/>
  <c r="BE105" i="1"/>
  <c r="AW104" i="1"/>
  <c r="AE102" i="1"/>
  <c r="BD102" i="1" s="1"/>
  <c r="AE98" i="1"/>
  <c r="BD98" i="1" s="1"/>
  <c r="AE96" i="1"/>
  <c r="BD96" i="1" s="1"/>
  <c r="BV94" i="1"/>
  <c r="BE94" i="1" s="1"/>
  <c r="EC94" i="1" s="1"/>
  <c r="DT94" i="1"/>
  <c r="DC94" i="1" s="1"/>
  <c r="ED94" i="1" s="1"/>
  <c r="BX92" i="1"/>
  <c r="AF90" i="1"/>
  <c r="CB90" i="1"/>
  <c r="BE90" i="1" s="1"/>
  <c r="BC104" i="1"/>
  <c r="CB88" i="1"/>
  <c r="DO104" i="1"/>
  <c r="V144" i="1"/>
  <c r="BE70" i="1"/>
  <c r="EC70" i="1" s="1"/>
  <c r="DZ60" i="1"/>
  <c r="CB60" i="1"/>
  <c r="BE60" i="1" s="1"/>
  <c r="G60" i="1"/>
  <c r="AD150" i="1"/>
  <c r="AD153" i="1" s="1"/>
  <c r="AD80" i="1"/>
  <c r="BG25" i="1"/>
  <c r="BE25" i="1" s="1"/>
  <c r="AF25" i="1"/>
  <c r="CC141" i="1"/>
  <c r="DB141" i="1" s="1"/>
  <c r="EC141" i="1"/>
  <c r="CC138" i="1"/>
  <c r="DB138" i="1" s="1"/>
  <c r="ED138" i="1"/>
  <c r="AE130" i="1"/>
  <c r="BD130" i="1" s="1"/>
  <c r="EC130" i="1"/>
  <c r="BX129" i="1"/>
  <c r="BX147" i="1" s="1"/>
  <c r="Z147" i="1"/>
  <c r="Z153" i="1" s="1"/>
  <c r="DG147" i="1"/>
  <c r="DG153" i="1" s="1"/>
  <c r="BC147" i="1"/>
  <c r="BM126" i="1"/>
  <c r="AF126" i="1"/>
  <c r="CM142" i="1"/>
  <c r="CM144" i="1" s="1"/>
  <c r="DY124" i="1"/>
  <c r="CA124" i="1"/>
  <c r="AC142" i="1"/>
  <c r="AC144" i="1" s="1"/>
  <c r="AC154" i="1" s="1"/>
  <c r="AC146" i="1"/>
  <c r="AC153" i="1" s="1"/>
  <c r="CD123" i="1"/>
  <c r="BY142" i="1"/>
  <c r="BQ142" i="1"/>
  <c r="BE122" i="1"/>
  <c r="EC122" i="1" s="1"/>
  <c r="BB144" i="1"/>
  <c r="BT121" i="1"/>
  <c r="DX121" i="1"/>
  <c r="BY108" i="1"/>
  <c r="BE108" i="1" s="1"/>
  <c r="G108" i="1"/>
  <c r="EB108" i="1" s="1"/>
  <c r="DW108" i="1"/>
  <c r="DC108" i="1" s="1"/>
  <c r="ED108" i="1" s="1"/>
  <c r="ED95" i="1"/>
  <c r="CC95" i="1"/>
  <c r="DB95" i="1" s="1"/>
  <c r="CD87" i="1"/>
  <c r="DT87" i="1"/>
  <c r="DC87" i="1" s="1"/>
  <c r="AR144" i="1"/>
  <c r="CC59" i="1"/>
  <c r="DB59" i="1" s="1"/>
  <c r="DF150" i="1"/>
  <c r="DI80" i="1"/>
  <c r="BS80" i="1"/>
  <c r="BK80" i="1"/>
  <c r="BK150" i="1"/>
  <c r="U142" i="1"/>
  <c r="L142" i="1"/>
  <c r="L144" i="1" s="1"/>
  <c r="L154" i="1" s="1"/>
  <c r="DC134" i="1"/>
  <c r="ED134" i="1" s="1"/>
  <c r="BG133" i="1"/>
  <c r="DR126" i="1"/>
  <c r="DR147" i="1" s="1"/>
  <c r="BN123" i="1"/>
  <c r="CD110" i="1"/>
  <c r="DR121" i="1"/>
  <c r="DJ121" i="1"/>
  <c r="AY104" i="1"/>
  <c r="DT101" i="1"/>
  <c r="DC101" i="1" s="1"/>
  <c r="ED101" i="1" s="1"/>
  <c r="BV101" i="1"/>
  <c r="BE101" i="1" s="1"/>
  <c r="EC101" i="1" s="1"/>
  <c r="G101" i="1"/>
  <c r="BE93" i="1"/>
  <c r="EC93" i="1" s="1"/>
  <c r="DV104" i="1"/>
  <c r="BM104" i="1"/>
  <c r="BX61" i="1"/>
  <c r="BI80" i="1"/>
  <c r="DV57" i="1"/>
  <c r="DC57" i="1" s="1"/>
  <c r="ED57" i="1" s="1"/>
  <c r="G57" i="1"/>
  <c r="BX57" i="1"/>
  <c r="BE57" i="1" s="1"/>
  <c r="EC57" i="1" s="1"/>
  <c r="CD52" i="1"/>
  <c r="CW80" i="1"/>
  <c r="EB51" i="1"/>
  <c r="CC51" i="1"/>
  <c r="DB51" i="1" s="1"/>
  <c r="DR39" i="1"/>
  <c r="DJ39" i="1"/>
  <c r="DJ144" i="1" s="1"/>
  <c r="CD135" i="1"/>
  <c r="DL124" i="1"/>
  <c r="BN124" i="1"/>
  <c r="DC112" i="1"/>
  <c r="BE112" i="1"/>
  <c r="CB110" i="1"/>
  <c r="BE102" i="1"/>
  <c r="EC102" i="1" s="1"/>
  <c r="BE91" i="1"/>
  <c r="EC91" i="1" s="1"/>
  <c r="DZ88" i="1"/>
  <c r="G88" i="1"/>
  <c r="EB88" i="1" s="1"/>
  <c r="DQ104" i="1"/>
  <c r="DI104" i="1"/>
  <c r="BY104" i="1"/>
  <c r="CB81" i="1"/>
  <c r="AD104" i="1"/>
  <c r="G81" i="1"/>
  <c r="DK79" i="1"/>
  <c r="CW79" i="1"/>
  <c r="DV72" i="1"/>
  <c r="CT72" i="1"/>
  <c r="DS72" i="1" s="1"/>
  <c r="W80" i="1"/>
  <c r="W144" i="1" s="1"/>
  <c r="W154" i="1" s="1"/>
  <c r="BU72" i="1"/>
  <c r="BU150" i="1" s="1"/>
  <c r="DC67" i="1"/>
  <c r="ED67" i="1" s="1"/>
  <c r="EC67" i="1"/>
  <c r="CC65" i="1"/>
  <c r="DB65" i="1" s="1"/>
  <c r="EB65" i="1"/>
  <c r="AE65" i="1"/>
  <c r="BD65" i="1" s="1"/>
  <c r="G63" i="1"/>
  <c r="DL63" i="1"/>
  <c r="P80" i="1"/>
  <c r="P144" i="1" s="1"/>
  <c r="BN63" i="1"/>
  <c r="BN80" i="1" s="1"/>
  <c r="DZ50" i="1"/>
  <c r="DC50" i="1" s="1"/>
  <c r="ED50" i="1" s="1"/>
  <c r="CB50" i="1"/>
  <c r="DC49" i="1"/>
  <c r="ED49" i="1" s="1"/>
  <c r="DM80" i="1"/>
  <c r="DH80" i="1"/>
  <c r="DR80" i="1"/>
  <c r="DJ80" i="1"/>
  <c r="BV13" i="1"/>
  <c r="DT13" i="1"/>
  <c r="DC13" i="1" s="1"/>
  <c r="ED13" i="1" s="1"/>
  <c r="G13" i="1"/>
  <c r="AE13" i="1" s="1"/>
  <c r="BD13" i="1" s="1"/>
  <c r="X39" i="1"/>
  <c r="X144" i="1" s="1"/>
  <c r="X154" i="1" s="1"/>
  <c r="DC10" i="1"/>
  <c r="ED10" i="1" s="1"/>
  <c r="P142" i="1"/>
  <c r="BE136" i="1"/>
  <c r="AF134" i="1"/>
  <c r="G128" i="1"/>
  <c r="EB128" i="1" s="1"/>
  <c r="DN126" i="1"/>
  <c r="DN147" i="1" s="1"/>
  <c r="DY125" i="1"/>
  <c r="DY147" i="1" s="1"/>
  <c r="G123" i="1"/>
  <c r="O142" i="1"/>
  <c r="BX110" i="1"/>
  <c r="DV110" i="1"/>
  <c r="DC110" i="1" s="1"/>
  <c r="G110" i="1"/>
  <c r="EB110" i="1" s="1"/>
  <c r="BF109" i="1"/>
  <c r="DD109" i="1"/>
  <c r="AG121" i="1"/>
  <c r="AG144" i="1" s="1"/>
  <c r="DU121" i="1"/>
  <c r="DM121" i="1"/>
  <c r="DC105" i="1"/>
  <c r="AE103" i="1"/>
  <c r="BD103" i="1" s="1"/>
  <c r="G102" i="1"/>
  <c r="EB102" i="1" s="1"/>
  <c r="DC100" i="1"/>
  <c r="ED100" i="1" s="1"/>
  <c r="DX104" i="1"/>
  <c r="DP104" i="1"/>
  <c r="DH104" i="1"/>
  <c r="EC78" i="1"/>
  <c r="BC80" i="1"/>
  <c r="CC67" i="1"/>
  <c r="DB67" i="1" s="1"/>
  <c r="AE67" i="1"/>
  <c r="BD67" i="1" s="1"/>
  <c r="CD61" i="1"/>
  <c r="EB48" i="1"/>
  <c r="CB46" i="1"/>
  <c r="BF39" i="1"/>
  <c r="AE12" i="1"/>
  <c r="BD12" i="1" s="1"/>
  <c r="BG140" i="1"/>
  <c r="CD136" i="1"/>
  <c r="DU136" i="1"/>
  <c r="DC136" i="1" s="1"/>
  <c r="AF123" i="1"/>
  <c r="BY119" i="1"/>
  <c r="BE119" i="1" s="1"/>
  <c r="CW121" i="1"/>
  <c r="AE106" i="1"/>
  <c r="BD106" i="1" s="1"/>
  <c r="BV121" i="1"/>
  <c r="BN121" i="1"/>
  <c r="CC103" i="1"/>
  <c r="DB103" i="1" s="1"/>
  <c r="DZ103" i="1"/>
  <c r="DC103" i="1" s="1"/>
  <c r="ED103" i="1" s="1"/>
  <c r="BE84" i="1"/>
  <c r="EC84" i="1" s="1"/>
  <c r="BP104" i="1"/>
  <c r="BH104" i="1"/>
  <c r="O80" i="1"/>
  <c r="O144" i="1" s="1"/>
  <c r="G75" i="1"/>
  <c r="DK75" i="1"/>
  <c r="BM75" i="1"/>
  <c r="BE74" i="1"/>
  <c r="EC74" i="1" s="1"/>
  <c r="BE69" i="1"/>
  <c r="EC69" i="1" s="1"/>
  <c r="AF63" i="1"/>
  <c r="AE58" i="1"/>
  <c r="BD58" i="1" s="1"/>
  <c r="EC58" i="1"/>
  <c r="CC57" i="1"/>
  <c r="DB57" i="1" s="1"/>
  <c r="DC56" i="1"/>
  <c r="ED56" i="1" s="1"/>
  <c r="G50" i="1"/>
  <c r="EB50" i="1" s="1"/>
  <c r="BZ80" i="1"/>
  <c r="BR80" i="1"/>
  <c r="BF80" i="1"/>
  <c r="BE37" i="1"/>
  <c r="EC37" i="1" s="1"/>
  <c r="DU33" i="1"/>
  <c r="BW33" i="1"/>
  <c r="Y39" i="1"/>
  <c r="Y144" i="1" s="1"/>
  <c r="Y154" i="1" s="1"/>
  <c r="G33" i="1"/>
  <c r="EB33" i="1" s="1"/>
  <c r="BE19" i="1"/>
  <c r="DT18" i="1"/>
  <c r="DC18" i="1" s="1"/>
  <c r="CD18" i="1"/>
  <c r="DC15" i="1"/>
  <c r="ED15" i="1" s="1"/>
  <c r="AF88" i="1"/>
  <c r="BE85" i="1"/>
  <c r="EC85" i="1" s="1"/>
  <c r="DC82" i="1"/>
  <c r="ED82" i="1" s="1"/>
  <c r="DE81" i="1"/>
  <c r="CF104" i="1"/>
  <c r="G79" i="1"/>
  <c r="EB79" i="1" s="1"/>
  <c r="BE65" i="1"/>
  <c r="EC65" i="1" s="1"/>
  <c r="DV55" i="1"/>
  <c r="G55" i="1"/>
  <c r="BX55" i="1"/>
  <c r="BE55" i="1" s="1"/>
  <c r="BX52" i="1"/>
  <c r="BE52" i="1" s="1"/>
  <c r="EC52" i="1" s="1"/>
  <c r="DV52" i="1"/>
  <c r="DC52" i="1" s="1"/>
  <c r="AE51" i="1"/>
  <c r="BD51" i="1" s="1"/>
  <c r="DC36" i="1"/>
  <c r="ED36" i="1" s="1"/>
  <c r="CC31" i="1"/>
  <c r="DB31" i="1" s="1"/>
  <c r="DC30" i="1"/>
  <c r="DE24" i="1"/>
  <c r="DC24" i="1" s="1"/>
  <c r="CD24" i="1"/>
  <c r="EB10" i="1"/>
  <c r="CC10" i="1"/>
  <c r="DB10" i="1" s="1"/>
  <c r="ED9" i="1"/>
  <c r="DC95" i="1"/>
  <c r="DC76" i="1"/>
  <c r="ED76" i="1" s="1"/>
  <c r="G72" i="1"/>
  <c r="EB72" i="1" s="1"/>
  <c r="DC69" i="1"/>
  <c r="AF66" i="1"/>
  <c r="BM66" i="1"/>
  <c r="BE66" i="1" s="1"/>
  <c r="EC59" i="1"/>
  <c r="BE53" i="1"/>
  <c r="EC53" i="1" s="1"/>
  <c r="BE26" i="1"/>
  <c r="CC15" i="1"/>
  <c r="DB15" i="1" s="1"/>
  <c r="AE105" i="1"/>
  <c r="BD105" i="1" s="1"/>
  <c r="CB103" i="1"/>
  <c r="BE103" i="1" s="1"/>
  <c r="EC103" i="1" s="1"/>
  <c r="DT98" i="1"/>
  <c r="DC98" i="1" s="1"/>
  <c r="CD98" i="1"/>
  <c r="BG95" i="1"/>
  <c r="BE95" i="1" s="1"/>
  <c r="EC95" i="1" s="1"/>
  <c r="BV92" i="1"/>
  <c r="BU88" i="1"/>
  <c r="BU152" i="1" s="1"/>
  <c r="CC82" i="1"/>
  <c r="DB82" i="1" s="1"/>
  <c r="BM79" i="1"/>
  <c r="BE79" i="1" s="1"/>
  <c r="AF79" i="1"/>
  <c r="DK77" i="1"/>
  <c r="DC77" i="1" s="1"/>
  <c r="ED77" i="1" s="1"/>
  <c r="G77" i="1"/>
  <c r="BX75" i="1"/>
  <c r="DC74" i="1"/>
  <c r="ED74" i="1" s="1"/>
  <c r="DC62" i="1"/>
  <c r="ED62" i="1" s="1"/>
  <c r="CB61" i="1"/>
  <c r="G61" i="1"/>
  <c r="EB61" i="1" s="1"/>
  <c r="AE59" i="1"/>
  <c r="BD59" i="1" s="1"/>
  <c r="AF48" i="1"/>
  <c r="BE45" i="1"/>
  <c r="BL80" i="1"/>
  <c r="BJ80" i="1"/>
  <c r="BE30" i="1"/>
  <c r="DC21" i="1"/>
  <c r="EB15" i="1"/>
  <c r="AE15" i="1"/>
  <c r="BD15" i="1" s="1"/>
  <c r="BE12" i="1"/>
  <c r="EC12" i="1" s="1"/>
  <c r="BV5" i="1"/>
  <c r="AF5" i="1"/>
  <c r="BE96" i="1"/>
  <c r="EC96" i="1" s="1"/>
  <c r="DC85" i="1"/>
  <c r="ED85" i="1" s="1"/>
  <c r="BS104" i="1"/>
  <c r="BK104" i="1"/>
  <c r="DM104" i="1"/>
  <c r="G78" i="1"/>
  <c r="BQ75" i="1"/>
  <c r="DO75" i="1"/>
  <c r="BX73" i="1"/>
  <c r="BE73" i="1" s="1"/>
  <c r="AF73" i="1"/>
  <c r="BE63" i="1"/>
  <c r="CL60" i="1"/>
  <c r="DN60" i="1"/>
  <c r="DN80" i="1" s="1"/>
  <c r="EC56" i="1"/>
  <c r="AE56" i="1"/>
  <c r="BD56" i="1" s="1"/>
  <c r="DC54" i="1"/>
  <c r="ED54" i="1" s="1"/>
  <c r="CC45" i="1"/>
  <c r="DB45" i="1" s="1"/>
  <c r="DU34" i="1"/>
  <c r="DA34" i="1"/>
  <c r="DA151" i="1" s="1"/>
  <c r="CV39" i="1"/>
  <c r="AF34" i="1"/>
  <c r="AX39" i="1"/>
  <c r="BW34" i="1"/>
  <c r="BE34" i="1" s="1"/>
  <c r="BE27" i="1"/>
  <c r="EC27" i="1" s="1"/>
  <c r="CD26" i="1"/>
  <c r="DZ26" i="1"/>
  <c r="DC26" i="1" s="1"/>
  <c r="DI39" i="1"/>
  <c r="DI144" i="1" s="1"/>
  <c r="DL39" i="1"/>
  <c r="DD39" i="1"/>
  <c r="CB83" i="1"/>
  <c r="G71" i="1"/>
  <c r="BE58" i="1"/>
  <c r="DC55" i="1"/>
  <c r="AE52" i="1"/>
  <c r="BD52" i="1" s="1"/>
  <c r="DK50" i="1"/>
  <c r="BM50" i="1"/>
  <c r="BE50" i="1" s="1"/>
  <c r="EC50" i="1" s="1"/>
  <c r="DO48" i="1"/>
  <c r="BE46" i="1"/>
  <c r="EC46" i="1" s="1"/>
  <c r="BT44" i="1"/>
  <c r="BT150" i="1" s="1"/>
  <c r="CD35" i="1"/>
  <c r="CL39" i="1"/>
  <c r="DK35" i="1"/>
  <c r="DC31" i="1"/>
  <c r="ED31" i="1" s="1"/>
  <c r="DC23" i="1"/>
  <c r="EC13" i="1"/>
  <c r="DC12" i="1"/>
  <c r="ED12" i="1" s="1"/>
  <c r="DC11" i="1"/>
  <c r="ED11" i="1" s="1"/>
  <c r="CD8" i="1"/>
  <c r="DT8" i="1"/>
  <c r="DC8" i="1" s="1"/>
  <c r="DV39" i="1"/>
  <c r="DN39" i="1"/>
  <c r="BE6" i="1"/>
  <c r="EC6" i="1" s="1"/>
  <c r="DQ60" i="1"/>
  <c r="DC59" i="1"/>
  <c r="ED59" i="1" s="1"/>
  <c r="AF54" i="1"/>
  <c r="CD46" i="1"/>
  <c r="BM46" i="1"/>
  <c r="DZ27" i="1"/>
  <c r="DC27" i="1" s="1"/>
  <c r="ED27" i="1" s="1"/>
  <c r="CB27" i="1"/>
  <c r="G27" i="1"/>
  <c r="CC23" i="1"/>
  <c r="DB23" i="1" s="1"/>
  <c r="CD22" i="1"/>
  <c r="DF22" i="1"/>
  <c r="EB5" i="1"/>
  <c r="CD4" i="1"/>
  <c r="CU39" i="1"/>
  <c r="DT4" i="1"/>
  <c r="BT39" i="1"/>
  <c r="BL39" i="1"/>
  <c r="AW39" i="1"/>
  <c r="AF4" i="1"/>
  <c r="DZ83" i="1"/>
  <c r="BM72" i="1"/>
  <c r="DL66" i="1"/>
  <c r="DL80" i="1" s="1"/>
  <c r="BX54" i="1"/>
  <c r="BE54" i="1" s="1"/>
  <c r="G54" i="1"/>
  <c r="EB54" i="1" s="1"/>
  <c r="BE47" i="1"/>
  <c r="EC47" i="1" s="1"/>
  <c r="G46" i="1"/>
  <c r="EB46" i="1" s="1"/>
  <c r="CB44" i="1"/>
  <c r="DZ44" i="1"/>
  <c r="DV41" i="1"/>
  <c r="BX41" i="1"/>
  <c r="BE40" i="1"/>
  <c r="EC40" i="1" s="1"/>
  <c r="CC32" i="1"/>
  <c r="DB32" i="1" s="1"/>
  <c r="DC29" i="1"/>
  <c r="ED29" i="1" s="1"/>
  <c r="BE21" i="1"/>
  <c r="BE8" i="1"/>
  <c r="EC8" i="1" s="1"/>
  <c r="AE70" i="1"/>
  <c r="BD70" i="1" s="1"/>
  <c r="CC64" i="1"/>
  <c r="DB64" i="1" s="1"/>
  <c r="G41" i="1"/>
  <c r="AE41" i="1" s="1"/>
  <c r="BD41" i="1" s="1"/>
  <c r="DK41" i="1"/>
  <c r="BM41" i="1"/>
  <c r="BE29" i="1"/>
  <c r="AI39" i="1"/>
  <c r="AI144" i="1" s="1"/>
  <c r="AI154" i="1" s="1"/>
  <c r="AF21" i="1"/>
  <c r="AF20" i="1"/>
  <c r="BV20" i="1"/>
  <c r="BV149" i="1" s="1"/>
  <c r="BE15" i="1"/>
  <c r="EC15" i="1" s="1"/>
  <c r="DC7" i="1"/>
  <c r="ED7" i="1" s="1"/>
  <c r="BE7" i="1"/>
  <c r="EC7" i="1" s="1"/>
  <c r="BY39" i="1"/>
  <c r="CC5" i="1"/>
  <c r="DB5" i="1" s="1"/>
  <c r="CC49" i="1"/>
  <c r="DB49" i="1" s="1"/>
  <c r="DX48" i="1"/>
  <c r="DX150" i="1" s="1"/>
  <c r="AF44" i="1"/>
  <c r="DC40" i="1"/>
  <c r="ED40" i="1" s="1"/>
  <c r="DC38" i="1"/>
  <c r="ED38" i="1" s="1"/>
  <c r="CC36" i="1"/>
  <c r="DB36" i="1" s="1"/>
  <c r="AE36" i="1"/>
  <c r="BD36" i="1" s="1"/>
  <c r="BE31" i="1"/>
  <c r="DC19" i="1"/>
  <c r="ED19" i="1" s="1"/>
  <c r="AF45" i="1"/>
  <c r="AF43" i="1"/>
  <c r="U39" i="1"/>
  <c r="U144" i="1" s="1"/>
  <c r="U154" i="1" s="1"/>
  <c r="DQ35" i="1"/>
  <c r="DQ147" i="1" s="1"/>
  <c r="DE34" i="1"/>
  <c r="EC29" i="1"/>
  <c r="AF26" i="1"/>
  <c r="DC20" i="1"/>
  <c r="AF10" i="1"/>
  <c r="BH39" i="1"/>
  <c r="DX39" i="1"/>
  <c r="DP39" i="1"/>
  <c r="DH39" i="1"/>
  <c r="DH144" i="1" s="1"/>
  <c r="DH154" i="1" s="1"/>
  <c r="BS39" i="1"/>
  <c r="BK39" i="1"/>
  <c r="BX43" i="1"/>
  <c r="BE43" i="1" s="1"/>
  <c r="G43" i="1"/>
  <c r="CC40" i="1"/>
  <c r="DB40" i="1" s="1"/>
  <c r="CC38" i="1"/>
  <c r="DB38" i="1" s="1"/>
  <c r="AF38" i="1"/>
  <c r="BV38" i="1"/>
  <c r="BE38" i="1" s="1"/>
  <c r="G35" i="1"/>
  <c r="BN35" i="1"/>
  <c r="BN39" i="1" s="1"/>
  <c r="AF32" i="1"/>
  <c r="AE29" i="1"/>
  <c r="BD29" i="1" s="1"/>
  <c r="DE28" i="1"/>
  <c r="DC28" i="1" s="1"/>
  <c r="ED28" i="1" s="1"/>
  <c r="BG28" i="1"/>
  <c r="BE28" i="1" s="1"/>
  <c r="AD39" i="1"/>
  <c r="AE24" i="1"/>
  <c r="BD24" i="1" s="1"/>
  <c r="DT20" i="1"/>
  <c r="CD20" i="1"/>
  <c r="CD17" i="1"/>
  <c r="DE17" i="1"/>
  <c r="CF39" i="1"/>
  <c r="ED16" i="1"/>
  <c r="EC14" i="1"/>
  <c r="AE14" i="1"/>
  <c r="BD14" i="1" s="1"/>
  <c r="BE13" i="1"/>
  <c r="AE6" i="1"/>
  <c r="BD6" i="1" s="1"/>
  <c r="BP39" i="1"/>
  <c r="BZ39" i="1"/>
  <c r="BR39" i="1"/>
  <c r="BJ39" i="1"/>
  <c r="CC41" i="1"/>
  <c r="DB41" i="1" s="1"/>
  <c r="AE40" i="1"/>
  <c r="BD40" i="1" s="1"/>
  <c r="DC37" i="1"/>
  <c r="ED37" i="1" s="1"/>
  <c r="BE36" i="1"/>
  <c r="EC36" i="1" s="1"/>
  <c r="CC33" i="1"/>
  <c r="DB33" i="1" s="1"/>
  <c r="BX39" i="1"/>
  <c r="CB42" i="1"/>
  <c r="DF25" i="1"/>
  <c r="DC25" i="1" s="1"/>
  <c r="ED25" i="1" s="1"/>
  <c r="BG24" i="1"/>
  <c r="EC19" i="1"/>
  <c r="CB17" i="1"/>
  <c r="BE17" i="1" s="1"/>
  <c r="EC17" i="1" s="1"/>
  <c r="CC16" i="1"/>
  <c r="DB16" i="1" s="1"/>
  <c r="BI153" i="1" l="1"/>
  <c r="DV121" i="1"/>
  <c r="DQ80" i="1"/>
  <c r="ED43" i="1"/>
  <c r="BO151" i="1"/>
  <c r="BO39" i="1"/>
  <c r="CD75" i="1"/>
  <c r="BE11" i="1"/>
  <c r="EC11" i="1" s="1"/>
  <c r="DS104" i="1"/>
  <c r="ED21" i="1"/>
  <c r="ED111" i="1"/>
  <c r="DU152" i="1"/>
  <c r="ED6" i="1"/>
  <c r="DT80" i="1"/>
  <c r="BM147" i="1"/>
  <c r="AV144" i="1"/>
  <c r="AV154" i="1" s="1"/>
  <c r="ED129" i="1"/>
  <c r="ED112" i="1"/>
  <c r="DC88" i="1"/>
  <c r="ED88" i="1" s="1"/>
  <c r="ED30" i="1"/>
  <c r="BU80" i="1"/>
  <c r="CC96" i="1"/>
  <c r="DB96" i="1" s="1"/>
  <c r="DS147" i="1"/>
  <c r="CG154" i="1"/>
  <c r="BX104" i="1"/>
  <c r="EC135" i="1"/>
  <c r="BV147" i="1"/>
  <c r="CU144" i="1"/>
  <c r="CU154" i="1" s="1"/>
  <c r="BE72" i="1"/>
  <c r="EC72" i="1" s="1"/>
  <c r="CD42" i="1"/>
  <c r="CC42" i="1" s="1"/>
  <c r="DB42" i="1" s="1"/>
  <c r="EC31" i="1"/>
  <c r="BW151" i="1"/>
  <c r="CW150" i="1"/>
  <c r="CW153" i="1" s="1"/>
  <c r="DU142" i="1"/>
  <c r="CC105" i="1"/>
  <c r="DB105" i="1" s="1"/>
  <c r="EC106" i="1"/>
  <c r="ED128" i="1"/>
  <c r="DB80" i="2"/>
  <c r="EE80" i="2"/>
  <c r="DB57" i="2"/>
  <c r="EE57" i="2"/>
  <c r="AE202" i="2"/>
  <c r="AD202" i="2"/>
  <c r="G207" i="2"/>
  <c r="AC202" i="2"/>
  <c r="DB65" i="2"/>
  <c r="EE65" i="2"/>
  <c r="AC206" i="2"/>
  <c r="AD206" i="2"/>
  <c r="AE206" i="2"/>
  <c r="DB82" i="2"/>
  <c r="EE82" i="2"/>
  <c r="DB94" i="2"/>
  <c r="EE94" i="2"/>
  <c r="DB78" i="2"/>
  <c r="EE78" i="2"/>
  <c r="AD204" i="2"/>
  <c r="AC204" i="2"/>
  <c r="AE204" i="2"/>
  <c r="DQ145" i="2"/>
  <c r="AE203" i="2"/>
  <c r="AD203" i="2"/>
  <c r="AC203" i="2"/>
  <c r="DB64" i="2"/>
  <c r="EE64" i="2"/>
  <c r="DB52" i="2"/>
  <c r="EE52" i="2"/>
  <c r="DB95" i="2"/>
  <c r="EE95" i="2"/>
  <c r="AC205" i="2"/>
  <c r="AD205" i="2"/>
  <c r="AE205" i="2"/>
  <c r="DB103" i="2"/>
  <c r="EE103" i="2"/>
  <c r="DB89" i="2"/>
  <c r="EE89" i="2"/>
  <c r="DZ152" i="2"/>
  <c r="DC152" i="2" s="1"/>
  <c r="DB45" i="2"/>
  <c r="EE45" i="2"/>
  <c r="DB67" i="2"/>
  <c r="EE67" i="2"/>
  <c r="DB63" i="2"/>
  <c r="EE63" i="2"/>
  <c r="DB60" i="2"/>
  <c r="EE60" i="2"/>
  <c r="BN145" i="2"/>
  <c r="DB76" i="2"/>
  <c r="EE76" i="2"/>
  <c r="BP145" i="2"/>
  <c r="DB101" i="2"/>
  <c r="EE101" i="2"/>
  <c r="BW145" i="2"/>
  <c r="DZ81" i="2"/>
  <c r="DB93" i="2"/>
  <c r="EE93" i="2"/>
  <c r="BE83" i="1"/>
  <c r="EC83" i="1" s="1"/>
  <c r="ED23" i="1"/>
  <c r="DZ121" i="1"/>
  <c r="CZ153" i="1"/>
  <c r="DB129" i="2"/>
  <c r="EE129" i="2"/>
  <c r="DB124" i="2"/>
  <c r="EE124" i="2"/>
  <c r="BE48" i="1"/>
  <c r="EC48" i="1" s="1"/>
  <c r="DZ92" i="1"/>
  <c r="DC92" i="1" s="1"/>
  <c r="ED92" i="1" s="1"/>
  <c r="CW144" i="1"/>
  <c r="EC60" i="1"/>
  <c r="AN144" i="1"/>
  <c r="DA104" i="1"/>
  <c r="DJ153" i="1"/>
  <c r="DJ154" i="1" s="1"/>
  <c r="CC129" i="1"/>
  <c r="DB129" i="1" s="1"/>
  <c r="CB147" i="1"/>
  <c r="DC106" i="1"/>
  <c r="DB108" i="2"/>
  <c r="EE108" i="2"/>
  <c r="DB104" i="2"/>
  <c r="EE104" i="2"/>
  <c r="DB107" i="2"/>
  <c r="EE107" i="2"/>
  <c r="DB46" i="2"/>
  <c r="EE46" i="2"/>
  <c r="DB125" i="2"/>
  <c r="EE125" i="2"/>
  <c r="CV144" i="1"/>
  <c r="CV154" i="1" s="1"/>
  <c r="BV151" i="1"/>
  <c r="ED73" i="1"/>
  <c r="BG149" i="1"/>
  <c r="DT152" i="1"/>
  <c r="CX121" i="1"/>
  <c r="CX144" i="1" s="1"/>
  <c r="DB117" i="2"/>
  <c r="EE117" i="2"/>
  <c r="DB121" i="2"/>
  <c r="EE121" i="2"/>
  <c r="DB127" i="2"/>
  <c r="EE127" i="2"/>
  <c r="DB98" i="2"/>
  <c r="EE98" i="2"/>
  <c r="DB110" i="2"/>
  <c r="EE110" i="2"/>
  <c r="BX152" i="1"/>
  <c r="DB130" i="2"/>
  <c r="EE130" i="2"/>
  <c r="DB62" i="2"/>
  <c r="EE62" i="2"/>
  <c r="DB97" i="2"/>
  <c r="EE97" i="2"/>
  <c r="EC22" i="1"/>
  <c r="ED69" i="1"/>
  <c r="BB154" i="1"/>
  <c r="DQ146" i="1"/>
  <c r="CN154" i="1"/>
  <c r="CX148" i="1"/>
  <c r="CX153" i="1" s="1"/>
  <c r="CX154" i="1" s="1"/>
  <c r="CA154" i="2"/>
  <c r="DB49" i="2"/>
  <c r="EE49" i="2"/>
  <c r="BK148" i="1"/>
  <c r="BK153" i="1" s="1"/>
  <c r="BK121" i="1"/>
  <c r="BK144" i="1" s="1"/>
  <c r="DB120" i="2"/>
  <c r="EE120" i="2"/>
  <c r="DB126" i="2"/>
  <c r="EE126" i="2"/>
  <c r="BE109" i="1"/>
  <c r="EC109" i="1" s="1"/>
  <c r="BG142" i="1"/>
  <c r="AH153" i="1"/>
  <c r="AT153" i="1"/>
  <c r="AT154" i="1" s="1"/>
  <c r="BE44" i="1"/>
  <c r="EC44" i="1" s="1"/>
  <c r="DB111" i="2"/>
  <c r="EE111" i="2"/>
  <c r="DB134" i="2"/>
  <c r="EE134" i="2"/>
  <c r="DB74" i="2"/>
  <c r="EE74" i="2"/>
  <c r="BI145" i="2"/>
  <c r="DL154" i="2"/>
  <c r="DL145" i="2"/>
  <c r="BX145" i="2"/>
  <c r="BT145" i="2"/>
  <c r="CD122" i="2"/>
  <c r="CC122" i="2" s="1"/>
  <c r="CC150" i="2"/>
  <c r="DM154" i="2"/>
  <c r="DN154" i="2"/>
  <c r="DZ151" i="2"/>
  <c r="BX154" i="2"/>
  <c r="BW154" i="2"/>
  <c r="DU145" i="2"/>
  <c r="DZ40" i="2"/>
  <c r="BE148" i="2"/>
  <c r="DW122" i="2"/>
  <c r="DW145" i="2" s="1"/>
  <c r="BO154" i="2"/>
  <c r="BS154" i="2"/>
  <c r="DW149" i="2"/>
  <c r="DW154" i="2" s="1"/>
  <c r="DA154" i="2"/>
  <c r="CD151" i="2"/>
  <c r="CC151" i="2" s="1"/>
  <c r="BP154" i="2"/>
  <c r="BE153" i="2"/>
  <c r="BU145" i="2"/>
  <c r="DR154" i="2"/>
  <c r="AE152" i="2"/>
  <c r="BD152" i="2" s="1"/>
  <c r="BE105" i="2"/>
  <c r="CB145" i="2"/>
  <c r="BE152" i="2"/>
  <c r="CA145" i="2"/>
  <c r="DV151" i="2"/>
  <c r="DV154" i="2" s="1"/>
  <c r="CB154" i="2"/>
  <c r="BN154" i="2"/>
  <c r="DO81" i="2"/>
  <c r="DO145" i="2" s="1"/>
  <c r="BE151" i="2"/>
  <c r="DM145" i="2"/>
  <c r="BE122" i="2"/>
  <c r="BE150" i="2"/>
  <c r="DC64" i="2"/>
  <c r="BI154" i="2"/>
  <c r="DK81" i="2"/>
  <c r="DK145" i="2" s="1"/>
  <c r="DV81" i="2"/>
  <c r="DV145" i="2" s="1"/>
  <c r="BV154" i="2"/>
  <c r="AF154" i="2"/>
  <c r="AE147" i="2"/>
  <c r="BD147" i="2" s="1"/>
  <c r="AE150" i="2"/>
  <c r="BD150" i="2" s="1"/>
  <c r="BM154" i="2"/>
  <c r="DC148" i="2"/>
  <c r="BE143" i="2"/>
  <c r="AF145" i="2"/>
  <c r="AE40" i="2"/>
  <c r="BD40" i="2" s="1"/>
  <c r="DE150" i="2"/>
  <c r="DE40" i="2"/>
  <c r="DE145" i="2" s="1"/>
  <c r="DC18" i="2"/>
  <c r="DC40" i="2" s="1"/>
  <c r="G154" i="2"/>
  <c r="BG154" i="2"/>
  <c r="BE81" i="2"/>
  <c r="DC147" i="2"/>
  <c r="CC143" i="2"/>
  <c r="BE149" i="2"/>
  <c r="BF154" i="2"/>
  <c r="AE153" i="2"/>
  <c r="BD153" i="2" s="1"/>
  <c r="CC44" i="2"/>
  <c r="CC73" i="2"/>
  <c r="CD153" i="2"/>
  <c r="CC148" i="2"/>
  <c r="DC87" i="2"/>
  <c r="DT153" i="2"/>
  <c r="DT154" i="2" s="1"/>
  <c r="DT105" i="2"/>
  <c r="DT145" i="2" s="1"/>
  <c r="DC122" i="2"/>
  <c r="AE149" i="2"/>
  <c r="BD149" i="2" s="1"/>
  <c r="CC147" i="2"/>
  <c r="BV145" i="2"/>
  <c r="G145" i="2"/>
  <c r="CC87" i="2"/>
  <c r="DK151" i="2"/>
  <c r="AE148" i="2"/>
  <c r="BD148" i="2" s="1"/>
  <c r="CC84" i="2"/>
  <c r="CD105" i="2"/>
  <c r="AE81" i="2"/>
  <c r="BD81" i="2" s="1"/>
  <c r="AE122" i="2"/>
  <c r="BD122" i="2" s="1"/>
  <c r="DC143" i="2"/>
  <c r="BE147" i="2"/>
  <c r="DS81" i="2"/>
  <c r="DS145" i="2" s="1"/>
  <c r="DS151" i="2"/>
  <c r="DS154" i="2" s="1"/>
  <c r="DC73" i="2"/>
  <c r="AE105" i="2"/>
  <c r="BD105" i="2" s="1"/>
  <c r="DZ105" i="2"/>
  <c r="AE143" i="2"/>
  <c r="BD143" i="2" s="1"/>
  <c r="CC18" i="2"/>
  <c r="DB18" i="2" s="1"/>
  <c r="CD40" i="2"/>
  <c r="BG145" i="2"/>
  <c r="DD154" i="2"/>
  <c r="BE40" i="2"/>
  <c r="CC61" i="2"/>
  <c r="AE151" i="2"/>
  <c r="BD151" i="2" s="1"/>
  <c r="CC152" i="2"/>
  <c r="BM145" i="2"/>
  <c r="CC149" i="2"/>
  <c r="DZ153" i="2"/>
  <c r="CC43" i="2"/>
  <c r="CD81" i="2"/>
  <c r="CL150" i="1"/>
  <c r="EC112" i="1"/>
  <c r="CR153" i="1"/>
  <c r="CR154" i="1" s="1"/>
  <c r="AQ144" i="1"/>
  <c r="BM142" i="1"/>
  <c r="CD147" i="1"/>
  <c r="CC21" i="1"/>
  <c r="DB21" i="1" s="1"/>
  <c r="DZ46" i="1"/>
  <c r="DC46" i="1" s="1"/>
  <c r="BG39" i="1"/>
  <c r="BE41" i="1"/>
  <c r="EC41" i="1" s="1"/>
  <c r="BE75" i="1"/>
  <c r="EC75" i="1" s="1"/>
  <c r="CD106" i="1"/>
  <c r="CD121" i="1" s="1"/>
  <c r="EC55" i="1"/>
  <c r="BI144" i="1"/>
  <c r="BI154" i="1" s="1"/>
  <c r="BS150" i="1"/>
  <c r="BS153" i="1" s="1"/>
  <c r="EC86" i="1"/>
  <c r="AF121" i="1"/>
  <c r="AX153" i="1"/>
  <c r="CD149" i="1"/>
  <c r="CC149" i="1" s="1"/>
  <c r="DB149" i="1" s="1"/>
  <c r="AQ153" i="1"/>
  <c r="AQ154" i="1" s="1"/>
  <c r="DA150" i="1"/>
  <c r="BE42" i="1"/>
  <c r="AY144" i="1"/>
  <c r="AY154" i="1" s="1"/>
  <c r="EC97" i="1"/>
  <c r="DV148" i="1"/>
  <c r="DE142" i="1"/>
  <c r="CA39" i="1"/>
  <c r="BE61" i="1"/>
  <c r="EC61" i="1" s="1"/>
  <c r="DC42" i="1"/>
  <c r="AE99" i="1"/>
  <c r="BD99" i="1" s="1"/>
  <c r="DQ150" i="1"/>
  <c r="DZ142" i="1"/>
  <c r="DC75" i="1"/>
  <c r="ED75" i="1" s="1"/>
  <c r="DE149" i="1"/>
  <c r="EC35" i="1"/>
  <c r="DF151" i="1"/>
  <c r="DF153" i="1" s="1"/>
  <c r="DV79" i="1"/>
  <c r="DC79" i="1" s="1"/>
  <c r="EC119" i="1"/>
  <c r="AW153" i="1"/>
  <c r="BY148" i="1"/>
  <c r="BY153" i="1" s="1"/>
  <c r="BG104" i="1"/>
  <c r="BE88" i="1"/>
  <c r="AH144" i="1"/>
  <c r="CD66" i="1"/>
  <c r="CC66" i="1" s="1"/>
  <c r="DB66" i="1" s="1"/>
  <c r="DK66" i="1"/>
  <c r="DC66" i="1" s="1"/>
  <c r="DC44" i="1"/>
  <c r="ED44" i="1" s="1"/>
  <c r="DC109" i="1"/>
  <c r="ED109" i="1" s="1"/>
  <c r="DZ148" i="1"/>
  <c r="EC28" i="1"/>
  <c r="DK147" i="1"/>
  <c r="DC147" i="1" s="1"/>
  <c r="AF142" i="1"/>
  <c r="AR154" i="1"/>
  <c r="BE126" i="1"/>
  <c r="EC126" i="1" s="1"/>
  <c r="BH153" i="1"/>
  <c r="CU153" i="1"/>
  <c r="BE92" i="1"/>
  <c r="EC92" i="1" s="1"/>
  <c r="AP144" i="1"/>
  <c r="AP154" i="1" s="1"/>
  <c r="ED86" i="1"/>
  <c r="CF142" i="1"/>
  <c r="CF144" i="1" s="1"/>
  <c r="CD140" i="1"/>
  <c r="CC140" i="1" s="1"/>
  <c r="DB140" i="1" s="1"/>
  <c r="DY39" i="1"/>
  <c r="DY151" i="1"/>
  <c r="DS150" i="1"/>
  <c r="DS153" i="1" s="1"/>
  <c r="DC72" i="1"/>
  <c r="DS80" i="1"/>
  <c r="DS144" i="1" s="1"/>
  <c r="AH154" i="1"/>
  <c r="BP142" i="1"/>
  <c r="BP144" i="1" s="1"/>
  <c r="BP154" i="1" s="1"/>
  <c r="BP146" i="1"/>
  <c r="BP153" i="1" s="1"/>
  <c r="DD148" i="1"/>
  <c r="AE113" i="1"/>
  <c r="BD113" i="1" s="1"/>
  <c r="EC113" i="1"/>
  <c r="AE20" i="1"/>
  <c r="BD20" i="1" s="1"/>
  <c r="AF149" i="1"/>
  <c r="CC22" i="1"/>
  <c r="DB22" i="1" s="1"/>
  <c r="CC8" i="1"/>
  <c r="DB8" i="1" s="1"/>
  <c r="ED8" i="1"/>
  <c r="CC78" i="1"/>
  <c r="DB78" i="1" s="1"/>
  <c r="EB78" i="1"/>
  <c r="CB152" i="1"/>
  <c r="CB104" i="1"/>
  <c r="CC52" i="1"/>
  <c r="DB52" i="1" s="1"/>
  <c r="ED52" i="1"/>
  <c r="BE123" i="1"/>
  <c r="DM142" i="1"/>
  <c r="DM144" i="1" s="1"/>
  <c r="DM146" i="1"/>
  <c r="DM153" i="1" s="1"/>
  <c r="DC122" i="1"/>
  <c r="AE5" i="1"/>
  <c r="BD5" i="1" s="1"/>
  <c r="ED61" i="1"/>
  <c r="CC61" i="1"/>
  <c r="DB61" i="1" s="1"/>
  <c r="DC127" i="1"/>
  <c r="ED127" i="1" s="1"/>
  <c r="DT104" i="1"/>
  <c r="BO142" i="1"/>
  <c r="BO146" i="1"/>
  <c r="EB122" i="1"/>
  <c r="G142" i="1"/>
  <c r="EB142" i="1" s="1"/>
  <c r="CC122" i="1"/>
  <c r="DB122" i="1" s="1"/>
  <c r="CB80" i="1"/>
  <c r="CB150" i="1"/>
  <c r="CM154" i="1"/>
  <c r="AE109" i="1"/>
  <c r="BD109" i="1" s="1"/>
  <c r="AE71" i="1"/>
  <c r="BD71" i="1" s="1"/>
  <c r="EC71" i="1"/>
  <c r="DC124" i="1"/>
  <c r="ED124" i="1" s="1"/>
  <c r="CQ154" i="1"/>
  <c r="AE92" i="1"/>
  <c r="BD92" i="1" s="1"/>
  <c r="CC125" i="1"/>
  <c r="DB125" i="1" s="1"/>
  <c r="EB35" i="1"/>
  <c r="G147" i="1"/>
  <c r="EB147" i="1" s="1"/>
  <c r="BE20" i="1"/>
  <c r="EC20" i="1" s="1"/>
  <c r="CD34" i="1"/>
  <c r="CD39" i="1" s="1"/>
  <c r="BL144" i="1"/>
  <c r="ED26" i="1"/>
  <c r="CC26" i="1"/>
  <c r="DB26" i="1" s="1"/>
  <c r="EC79" i="1"/>
  <c r="AE79" i="1"/>
  <c r="BD79" i="1" s="1"/>
  <c r="AG154" i="1"/>
  <c r="DC123" i="1"/>
  <c r="ED123" i="1" s="1"/>
  <c r="AE35" i="1"/>
  <c r="BD35" i="1" s="1"/>
  <c r="EB63" i="1"/>
  <c r="CC63" i="1"/>
  <c r="DB63" i="1" s="1"/>
  <c r="G104" i="1"/>
  <c r="EB104" i="1" s="1"/>
  <c r="EB81" i="1"/>
  <c r="G152" i="1"/>
  <c r="EB152" i="1" s="1"/>
  <c r="CC135" i="1"/>
  <c r="DB135" i="1" s="1"/>
  <c r="ED135" i="1"/>
  <c r="ED110" i="1"/>
  <c r="CC110" i="1"/>
  <c r="DB110" i="1" s="1"/>
  <c r="V154" i="1"/>
  <c r="BC144" i="1"/>
  <c r="BE133" i="1"/>
  <c r="EC133" i="1" s="1"/>
  <c r="CC124" i="1"/>
  <c r="DB124" i="1" s="1"/>
  <c r="CD151" i="1"/>
  <c r="CC115" i="1"/>
  <c r="DB115" i="1" s="1"/>
  <c r="ED115" i="1"/>
  <c r="BE127" i="1"/>
  <c r="EC127" i="1" s="1"/>
  <c r="CC81" i="1"/>
  <c r="DB81" i="1" s="1"/>
  <c r="AE125" i="1"/>
  <c r="BD125" i="1" s="1"/>
  <c r="CB142" i="1"/>
  <c r="BW148" i="1"/>
  <c r="CC127" i="1"/>
  <c r="DB127" i="1" s="1"/>
  <c r="BV39" i="1"/>
  <c r="BL153" i="1"/>
  <c r="ED133" i="1"/>
  <c r="CC133" i="1"/>
  <c r="DB133" i="1" s="1"/>
  <c r="DU144" i="1"/>
  <c r="AD144" i="1"/>
  <c r="AD154" i="1" s="1"/>
  <c r="EC38" i="1"/>
  <c r="AE38" i="1"/>
  <c r="BD38" i="1" s="1"/>
  <c r="AE78" i="1"/>
  <c r="BD78" i="1" s="1"/>
  <c r="DN150" i="1"/>
  <c r="DN153" i="1" s="1"/>
  <c r="DZ34" i="1"/>
  <c r="DZ39" i="1" s="1"/>
  <c r="AE21" i="1"/>
  <c r="BD21" i="1" s="1"/>
  <c r="EC21" i="1"/>
  <c r="CC35" i="1"/>
  <c r="DB35" i="1" s="1"/>
  <c r="DU151" i="1"/>
  <c r="DU153" i="1" s="1"/>
  <c r="EC87" i="1"/>
  <c r="AE87" i="1"/>
  <c r="BD87" i="1" s="1"/>
  <c r="AF152" i="1"/>
  <c r="CP154" i="1"/>
  <c r="DC126" i="1"/>
  <c r="ED126" i="1" s="1"/>
  <c r="BX142" i="1"/>
  <c r="BZ144" i="1"/>
  <c r="BZ154" i="1" s="1"/>
  <c r="BU104" i="1"/>
  <c r="DI153" i="1"/>
  <c r="DI154" i="1" s="1"/>
  <c r="BT146" i="1"/>
  <c r="BT153" i="1" s="1"/>
  <c r="BT142" i="1"/>
  <c r="AE115" i="1"/>
  <c r="BD115" i="1" s="1"/>
  <c r="EC115" i="1"/>
  <c r="BG152" i="1"/>
  <c r="CC50" i="1"/>
  <c r="DB50" i="1" s="1"/>
  <c r="EB27" i="1"/>
  <c r="AE27" i="1"/>
  <c r="BD27" i="1" s="1"/>
  <c r="CC27" i="1"/>
  <c r="DB27" i="1" s="1"/>
  <c r="EC63" i="1"/>
  <c r="AE63" i="1"/>
  <c r="BD63" i="1" s="1"/>
  <c r="EC134" i="1"/>
  <c r="AE134" i="1"/>
  <c r="BD134" i="1" s="1"/>
  <c r="ED87" i="1"/>
  <c r="CC87" i="1"/>
  <c r="DB87" i="1" s="1"/>
  <c r="BE125" i="1"/>
  <c r="EC125" i="1" s="1"/>
  <c r="AE25" i="1"/>
  <c r="BD25" i="1" s="1"/>
  <c r="EC25" i="1"/>
  <c r="AE127" i="1"/>
  <c r="BD127" i="1" s="1"/>
  <c r="BZ153" i="1"/>
  <c r="DZ102" i="1"/>
  <c r="DA152" i="1"/>
  <c r="CD152" i="1" s="1"/>
  <c r="ED119" i="1"/>
  <c r="CC119" i="1"/>
  <c r="DB119" i="1" s="1"/>
  <c r="AN153" i="1"/>
  <c r="AN154" i="1" s="1"/>
  <c r="DL147" i="1"/>
  <c r="BN150" i="1"/>
  <c r="DP80" i="1"/>
  <c r="DP144" i="1" s="1"/>
  <c r="DP150" i="1"/>
  <c r="DP153" i="1" s="1"/>
  <c r="AE81" i="1"/>
  <c r="BD81" i="1" s="1"/>
  <c r="BE107" i="1"/>
  <c r="EC107" i="1" s="1"/>
  <c r="BC153" i="1"/>
  <c r="BU147" i="1"/>
  <c r="BU153" i="1" s="1"/>
  <c r="BU142" i="1"/>
  <c r="AE122" i="1"/>
  <c r="BD122" i="1" s="1"/>
  <c r="BE24" i="1"/>
  <c r="EC24" i="1" s="1"/>
  <c r="BG151" i="1"/>
  <c r="BG153" i="1" s="1"/>
  <c r="AE44" i="1"/>
  <c r="BD44" i="1" s="1"/>
  <c r="BO144" i="1"/>
  <c r="EC88" i="1"/>
  <c r="AE88" i="1"/>
  <c r="BD88" i="1" s="1"/>
  <c r="ED136" i="1"/>
  <c r="CC136" i="1"/>
  <c r="DB136" i="1" s="1"/>
  <c r="DC125" i="1"/>
  <c r="ED125" i="1" s="1"/>
  <c r="BS144" i="1"/>
  <c r="AE26" i="1"/>
  <c r="BD26" i="1" s="1"/>
  <c r="EC26" i="1"/>
  <c r="EB75" i="1"/>
  <c r="AE75" i="1"/>
  <c r="BD75" i="1" s="1"/>
  <c r="DK142" i="1"/>
  <c r="CE154" i="1"/>
  <c r="DD121" i="1"/>
  <c r="DD144" i="1" s="1"/>
  <c r="O154" i="1"/>
  <c r="CB121" i="1"/>
  <c r="CB148" i="1"/>
  <c r="DK39" i="1"/>
  <c r="BN146" i="1"/>
  <c r="BN142" i="1"/>
  <c r="BN144" i="1" s="1"/>
  <c r="DY146" i="1"/>
  <c r="DY142" i="1"/>
  <c r="CL153" i="1"/>
  <c r="AF104" i="1"/>
  <c r="CC4" i="1"/>
  <c r="DB4" i="1" s="1"/>
  <c r="DQ39" i="1"/>
  <c r="DQ144" i="1" s="1"/>
  <c r="EB77" i="1"/>
  <c r="CC77" i="1"/>
  <c r="DB77" i="1" s="1"/>
  <c r="AE55" i="1"/>
  <c r="BD55" i="1" s="1"/>
  <c r="EB55" i="1"/>
  <c r="DC17" i="1"/>
  <c r="CC13" i="1"/>
  <c r="DB13" i="1" s="1"/>
  <c r="EB13" i="1"/>
  <c r="G151" i="1"/>
  <c r="EB151" i="1" s="1"/>
  <c r="AE61" i="1"/>
  <c r="BD61" i="1" s="1"/>
  <c r="EB57" i="1"/>
  <c r="AE57" i="1"/>
  <c r="BD57" i="1" s="1"/>
  <c r="AE110" i="1"/>
  <c r="BD110" i="1" s="1"/>
  <c r="AE124" i="1"/>
  <c r="BD124" i="1" s="1"/>
  <c r="BF148" i="1"/>
  <c r="CF153" i="1"/>
  <c r="CC17" i="1"/>
  <c r="DB17" i="1" s="1"/>
  <c r="ED17" i="1"/>
  <c r="AE43" i="1"/>
  <c r="BD43" i="1" s="1"/>
  <c r="EC43" i="1"/>
  <c r="EC66" i="1"/>
  <c r="AE66" i="1"/>
  <c r="BD66" i="1" s="1"/>
  <c r="CC18" i="1"/>
  <c r="DB18" i="1" s="1"/>
  <c r="ED18" i="1"/>
  <c r="AE32" i="1"/>
  <c r="BD32" i="1" s="1"/>
  <c r="EC32" i="1"/>
  <c r="EB43" i="1"/>
  <c r="CC43" i="1"/>
  <c r="DB43" i="1" s="1"/>
  <c r="BH144" i="1"/>
  <c r="BE33" i="1"/>
  <c r="EC33" i="1" s="1"/>
  <c r="AE45" i="1"/>
  <c r="BD45" i="1" s="1"/>
  <c r="EC45" i="1"/>
  <c r="DC33" i="1"/>
  <c r="ED33" i="1" s="1"/>
  <c r="AE4" i="1"/>
  <c r="BD4" i="1" s="1"/>
  <c r="EC4" i="1"/>
  <c r="AF39" i="1"/>
  <c r="AF151" i="1"/>
  <c r="DF39" i="1"/>
  <c r="DF144" i="1" s="1"/>
  <c r="DO150" i="1"/>
  <c r="DO153" i="1" s="1"/>
  <c r="DO80" i="1"/>
  <c r="DO144" i="1" s="1"/>
  <c r="DC22" i="1"/>
  <c r="ED22" i="1" s="1"/>
  <c r="AX144" i="1"/>
  <c r="EC73" i="1"/>
  <c r="AE73" i="1"/>
  <c r="BD73" i="1" s="1"/>
  <c r="ED98" i="1"/>
  <c r="CC98" i="1"/>
  <c r="DB98" i="1" s="1"/>
  <c r="BT80" i="1"/>
  <c r="DC48" i="1"/>
  <c r="ED48" i="1" s="1"/>
  <c r="DE104" i="1"/>
  <c r="DC81" i="1"/>
  <c r="ED81" i="1" s="1"/>
  <c r="DE152" i="1"/>
  <c r="DT149" i="1"/>
  <c r="DC149" i="1" s="1"/>
  <c r="BF121" i="1"/>
  <c r="BF144" i="1" s="1"/>
  <c r="P154" i="1"/>
  <c r="DC41" i="1"/>
  <c r="ED41" i="1" s="1"/>
  <c r="AE126" i="1"/>
  <c r="BD126" i="1" s="1"/>
  <c r="AE90" i="1"/>
  <c r="BD90" i="1" s="1"/>
  <c r="EC90" i="1"/>
  <c r="CC116" i="1"/>
  <c r="DB116" i="1" s="1"/>
  <c r="ED116" i="1"/>
  <c r="BE128" i="1"/>
  <c r="EC128" i="1" s="1"/>
  <c r="CD148" i="1"/>
  <c r="CC88" i="1"/>
  <c r="DB88" i="1" s="1"/>
  <c r="CC128" i="1"/>
  <c r="DB128" i="1" s="1"/>
  <c r="AZ154" i="1"/>
  <c r="DR142" i="1"/>
  <c r="DR144" i="1" s="1"/>
  <c r="DR146" i="1"/>
  <c r="DR153" i="1" s="1"/>
  <c r="CD146" i="1"/>
  <c r="CC44" i="1"/>
  <c r="DB44" i="1" s="1"/>
  <c r="AE128" i="1"/>
  <c r="BD128" i="1" s="1"/>
  <c r="AE107" i="1"/>
  <c r="BD107" i="1" s="1"/>
  <c r="AF148" i="1"/>
  <c r="AE72" i="1"/>
  <c r="BD72" i="1" s="1"/>
  <c r="BJ153" i="1"/>
  <c r="EC30" i="1"/>
  <c r="DE151" i="1"/>
  <c r="CC92" i="1"/>
  <c r="DB92" i="1" s="1"/>
  <c r="BE129" i="1"/>
  <c r="EC129" i="1" s="1"/>
  <c r="G80" i="1"/>
  <c r="EB80" i="1" s="1"/>
  <c r="G150" i="1"/>
  <c r="EB150" i="1" s="1"/>
  <c r="EB41" i="1"/>
  <c r="BX80" i="1"/>
  <c r="BX150" i="1"/>
  <c r="AE54" i="1"/>
  <c r="BD54" i="1" s="1"/>
  <c r="EC54" i="1"/>
  <c r="DA39" i="1"/>
  <c r="BQ150" i="1"/>
  <c r="BQ153" i="1" s="1"/>
  <c r="BQ80" i="1"/>
  <c r="BQ144" i="1" s="1"/>
  <c r="BQ154" i="1" s="1"/>
  <c r="CD72" i="1"/>
  <c r="CT80" i="1"/>
  <c r="CT144" i="1" s="1"/>
  <c r="CT150" i="1"/>
  <c r="CT153" i="1" s="1"/>
  <c r="EB101" i="1"/>
  <c r="AE101" i="1"/>
  <c r="BD101" i="1" s="1"/>
  <c r="CC118" i="1"/>
  <c r="DB118" i="1" s="1"/>
  <c r="ED118" i="1"/>
  <c r="DW121" i="1"/>
  <c r="DW144" i="1" s="1"/>
  <c r="DW148" i="1"/>
  <c r="DW153" i="1" s="1"/>
  <c r="EC111" i="1"/>
  <c r="AE111" i="1"/>
  <c r="BD111" i="1" s="1"/>
  <c r="BJ144" i="1"/>
  <c r="DT39" i="1"/>
  <c r="DT151" i="1"/>
  <c r="CD60" i="1"/>
  <c r="DK60" i="1"/>
  <c r="DC60" i="1" s="1"/>
  <c r="CC75" i="1"/>
  <c r="DB75" i="1" s="1"/>
  <c r="CA142" i="1"/>
  <c r="CA146" i="1"/>
  <c r="CA153" i="1" s="1"/>
  <c r="BV104" i="1"/>
  <c r="BV152" i="1"/>
  <c r="BE140" i="1"/>
  <c r="EC140" i="1" s="1"/>
  <c r="BE124" i="1"/>
  <c r="EC124" i="1" s="1"/>
  <c r="BR144" i="1"/>
  <c r="BR154" i="1" s="1"/>
  <c r="DZ80" i="1"/>
  <c r="DZ150" i="1"/>
  <c r="AE60" i="1"/>
  <c r="BD60" i="1" s="1"/>
  <c r="EB60" i="1"/>
  <c r="AE120" i="1"/>
  <c r="BD120" i="1" s="1"/>
  <c r="EC120" i="1"/>
  <c r="DG154" i="1"/>
  <c r="BE110" i="1"/>
  <c r="EC110" i="1" s="1"/>
  <c r="DN142" i="1"/>
  <c r="DN144" i="1" s="1"/>
  <c r="AO154" i="1"/>
  <c r="BE5" i="1"/>
  <c r="EC5" i="1" s="1"/>
  <c r="G39" i="1"/>
  <c r="BW39" i="1"/>
  <c r="EB71" i="1"/>
  <c r="CC71" i="1"/>
  <c r="DB71" i="1" s="1"/>
  <c r="CB149" i="1"/>
  <c r="BE149" i="1" s="1"/>
  <c r="ED20" i="1"/>
  <c r="CC20" i="1"/>
  <c r="DB20" i="1" s="1"/>
  <c r="BN147" i="1"/>
  <c r="AE10" i="1"/>
  <c r="BD10" i="1" s="1"/>
  <c r="EC10" i="1"/>
  <c r="DC4" i="1"/>
  <c r="ED4" i="1" s="1"/>
  <c r="BM80" i="1"/>
  <c r="BM150" i="1"/>
  <c r="BM153" i="1" s="1"/>
  <c r="DC35" i="1"/>
  <c r="ED35" i="1" s="1"/>
  <c r="AW144" i="1"/>
  <c r="CC46" i="1"/>
  <c r="DB46" i="1" s="1"/>
  <c r="ED46" i="1"/>
  <c r="EC34" i="1"/>
  <c r="AE34" i="1"/>
  <c r="BD34" i="1" s="1"/>
  <c r="AE48" i="1"/>
  <c r="BD48" i="1" s="1"/>
  <c r="CL80" i="1"/>
  <c r="CL144" i="1" s="1"/>
  <c r="EC105" i="1"/>
  <c r="ED24" i="1"/>
  <c r="CC24" i="1"/>
  <c r="DB24" i="1" s="1"/>
  <c r="DX80" i="1"/>
  <c r="DX144" i="1" s="1"/>
  <c r="DC83" i="1"/>
  <c r="ED83" i="1" s="1"/>
  <c r="AF146" i="1"/>
  <c r="AE123" i="1"/>
  <c r="BD123" i="1" s="1"/>
  <c r="G146" i="1"/>
  <c r="EB123" i="1"/>
  <c r="AE46" i="1"/>
  <c r="BD46" i="1" s="1"/>
  <c r="DL150" i="1"/>
  <c r="CD79" i="1"/>
  <c r="DL146" i="1"/>
  <c r="DL142" i="1"/>
  <c r="DL144" i="1" s="1"/>
  <c r="DC107" i="1"/>
  <c r="ED107" i="1" s="1"/>
  <c r="CC123" i="1"/>
  <c r="DB123" i="1" s="1"/>
  <c r="CC101" i="1"/>
  <c r="DB101" i="1" s="1"/>
  <c r="EB107" i="1"/>
  <c r="G121" i="1"/>
  <c r="EB121" i="1" s="1"/>
  <c r="G148" i="1"/>
  <c r="EB148" i="1" s="1"/>
  <c r="CB39" i="1"/>
  <c r="CB151" i="1"/>
  <c r="AF80" i="1"/>
  <c r="AE42" i="1"/>
  <c r="BD42" i="1" s="1"/>
  <c r="EC42" i="1"/>
  <c r="AF150" i="1"/>
  <c r="BE81" i="1"/>
  <c r="Z154" i="1"/>
  <c r="CD102" i="1"/>
  <c r="AU154" i="1"/>
  <c r="CS154" i="1"/>
  <c r="CC126" i="1"/>
  <c r="DB126" i="1" s="1"/>
  <c r="DX153" i="1"/>
  <c r="EC136" i="1"/>
  <c r="AE136" i="1"/>
  <c r="BD136" i="1" s="1"/>
  <c r="BY121" i="1"/>
  <c r="BY144" i="1" s="1"/>
  <c r="AF147" i="1"/>
  <c r="BX148" i="1"/>
  <c r="BX121" i="1"/>
  <c r="CC55" i="1"/>
  <c r="DB55" i="1" s="1"/>
  <c r="ED55" i="1"/>
  <c r="BW142" i="1"/>
  <c r="CC54" i="1"/>
  <c r="DB54" i="1" s="1"/>
  <c r="DE39" i="1"/>
  <c r="BE147" i="1" l="1"/>
  <c r="DT144" i="1"/>
  <c r="ED42" i="1"/>
  <c r="BO153" i="1"/>
  <c r="BO154" i="1" s="1"/>
  <c r="ED66" i="1"/>
  <c r="AD207" i="2"/>
  <c r="AC207" i="2"/>
  <c r="BV153" i="1"/>
  <c r="DA144" i="1"/>
  <c r="BW153" i="1"/>
  <c r="DY153" i="1"/>
  <c r="CW154" i="1"/>
  <c r="CA144" i="1"/>
  <c r="AE207" i="2"/>
  <c r="DB61" i="2"/>
  <c r="EE61" i="2"/>
  <c r="DB44" i="2"/>
  <c r="EE44" i="2"/>
  <c r="DC81" i="2"/>
  <c r="DB43" i="2"/>
  <c r="EE43" i="2"/>
  <c r="DB87" i="2"/>
  <c r="EE87" i="2"/>
  <c r="DB73" i="2"/>
  <c r="EE73" i="2"/>
  <c r="BK154" i="1"/>
  <c r="BE142" i="1"/>
  <c r="EC142" i="1" s="1"/>
  <c r="DB151" i="2"/>
  <c r="EE152" i="2"/>
  <c r="BM144" i="1"/>
  <c r="BM154" i="1" s="1"/>
  <c r="DB149" i="2"/>
  <c r="EE150" i="2"/>
  <c r="DB143" i="2"/>
  <c r="EE143" i="2"/>
  <c r="BH154" i="1"/>
  <c r="DS154" i="1"/>
  <c r="DB148" i="2"/>
  <c r="EE149" i="2"/>
  <c r="CB153" i="1"/>
  <c r="DZ104" i="1"/>
  <c r="DZ144" i="1" s="1"/>
  <c r="DQ153" i="1"/>
  <c r="DQ154" i="1" s="1"/>
  <c r="DB152" i="2"/>
  <c r="EE153" i="2"/>
  <c r="DB147" i="2"/>
  <c r="EE148" i="2"/>
  <c r="DE144" i="1"/>
  <c r="DE154" i="1" s="1"/>
  <c r="DB84" i="2"/>
  <c r="EE84" i="2"/>
  <c r="DB150" i="2"/>
  <c r="EE151" i="2"/>
  <c r="BX153" i="1"/>
  <c r="BX144" i="1"/>
  <c r="CB144" i="1"/>
  <c r="BY154" i="1"/>
  <c r="DB122" i="2"/>
  <c r="EE122" i="2"/>
  <c r="DC149" i="2"/>
  <c r="DZ154" i="2"/>
  <c r="DZ145" i="2"/>
  <c r="CD154" i="2"/>
  <c r="CC154" i="2" s="1"/>
  <c r="BE154" i="2"/>
  <c r="CC105" i="2"/>
  <c r="DE154" i="2"/>
  <c r="DC150" i="2"/>
  <c r="CC81" i="2"/>
  <c r="BE145" i="2"/>
  <c r="CD145" i="2"/>
  <c r="CC40" i="2"/>
  <c r="AE145" i="2"/>
  <c r="BD145" i="2" s="1"/>
  <c r="AE154" i="2"/>
  <c r="BD154" i="2" s="1"/>
  <c r="DC151" i="2"/>
  <c r="DK154" i="2"/>
  <c r="CC153" i="2"/>
  <c r="DC105" i="2"/>
  <c r="DC153" i="2"/>
  <c r="DO154" i="1"/>
  <c r="DY144" i="1"/>
  <c r="DY154" i="1" s="1"/>
  <c r="ED147" i="1"/>
  <c r="CD80" i="1"/>
  <c r="CC80" i="1" s="1"/>
  <c r="DB80" i="1" s="1"/>
  <c r="DF154" i="1"/>
  <c r="CF154" i="1"/>
  <c r="BE151" i="1"/>
  <c r="ED106" i="1"/>
  <c r="BE39" i="1"/>
  <c r="EC39" i="1" s="1"/>
  <c r="CD142" i="1"/>
  <c r="CC142" i="1" s="1"/>
  <c r="DB142" i="1" s="1"/>
  <c r="DV150" i="1"/>
  <c r="DV153" i="1" s="1"/>
  <c r="AX154" i="1"/>
  <c r="DE153" i="1"/>
  <c r="DC102" i="1"/>
  <c r="DM154" i="1"/>
  <c r="DV80" i="1"/>
  <c r="DV144" i="1" s="1"/>
  <c r="CL154" i="1"/>
  <c r="BX154" i="1"/>
  <c r="EC123" i="1"/>
  <c r="DW154" i="1"/>
  <c r="ED149" i="1"/>
  <c r="DZ152" i="1"/>
  <c r="DC152" i="1" s="1"/>
  <c r="ED152" i="1" s="1"/>
  <c r="BE148" i="1"/>
  <c r="EC148" i="1" s="1"/>
  <c r="BC154" i="1"/>
  <c r="CC106" i="1"/>
  <c r="DB106" i="1" s="1"/>
  <c r="BL154" i="1"/>
  <c r="BG144" i="1"/>
  <c r="BG154" i="1" s="1"/>
  <c r="BS154" i="1"/>
  <c r="BT144" i="1"/>
  <c r="BT154" i="1" s="1"/>
  <c r="BE150" i="1"/>
  <c r="BE152" i="1"/>
  <c r="EC152" i="1" s="1"/>
  <c r="BU144" i="1"/>
  <c r="BU154" i="1" s="1"/>
  <c r="BE80" i="1"/>
  <c r="EC80" i="1" s="1"/>
  <c r="CB154" i="1"/>
  <c r="AW154" i="1"/>
  <c r="DR154" i="1"/>
  <c r="BE121" i="1"/>
  <c r="EC121" i="1" s="1"/>
  <c r="BW144" i="1"/>
  <c r="BW154" i="1" s="1"/>
  <c r="DK150" i="1"/>
  <c r="ED140" i="1"/>
  <c r="AE152" i="1"/>
  <c r="BD152" i="1" s="1"/>
  <c r="DU154" i="1"/>
  <c r="AE142" i="1"/>
  <c r="BD142" i="1" s="1"/>
  <c r="G144" i="1"/>
  <c r="EB39" i="1"/>
  <c r="AE39" i="1"/>
  <c r="BD39" i="1" s="1"/>
  <c r="AF144" i="1"/>
  <c r="DC121" i="1"/>
  <c r="ED121" i="1" s="1"/>
  <c r="BE104" i="1"/>
  <c r="EC81" i="1"/>
  <c r="DT153" i="1"/>
  <c r="DT154" i="1" s="1"/>
  <c r="AE147" i="1"/>
  <c r="BD147" i="1" s="1"/>
  <c r="EC147" i="1"/>
  <c r="EB146" i="1"/>
  <c r="G153" i="1"/>
  <c r="EB153" i="1" s="1"/>
  <c r="DC34" i="1"/>
  <c r="DC39" i="1" s="1"/>
  <c r="CC60" i="1"/>
  <c r="DB60" i="1" s="1"/>
  <c r="ED60" i="1"/>
  <c r="CT154" i="1"/>
  <c r="AE104" i="1"/>
  <c r="BD104" i="1" s="1"/>
  <c r="DZ151" i="1"/>
  <c r="DZ153" i="1" s="1"/>
  <c r="EC151" i="1"/>
  <c r="AE151" i="1"/>
  <c r="BD151" i="1" s="1"/>
  <c r="DL153" i="1"/>
  <c r="DL154" i="1" s="1"/>
  <c r="DC146" i="1"/>
  <c r="ED146" i="1" s="1"/>
  <c r="AE121" i="1"/>
  <c r="BD121" i="1" s="1"/>
  <c r="AE148" i="1"/>
  <c r="BD148" i="1" s="1"/>
  <c r="CC148" i="1"/>
  <c r="DB148" i="1" s="1"/>
  <c r="CC121" i="1"/>
  <c r="DB121" i="1" s="1"/>
  <c r="BJ154" i="1"/>
  <c r="BN153" i="1"/>
  <c r="BN154" i="1" s="1"/>
  <c r="CC152" i="1"/>
  <c r="DB152" i="1" s="1"/>
  <c r="BE146" i="1"/>
  <c r="DK80" i="1"/>
  <c r="DK144" i="1" s="1"/>
  <c r="CC147" i="1"/>
  <c r="DB147" i="1" s="1"/>
  <c r="CC102" i="1"/>
  <c r="DB102" i="1" s="1"/>
  <c r="ED102" i="1"/>
  <c r="AE146" i="1"/>
  <c r="BD146" i="1" s="1"/>
  <c r="AF153" i="1"/>
  <c r="AE150" i="1"/>
  <c r="BD150" i="1" s="1"/>
  <c r="EC150" i="1"/>
  <c r="CC79" i="1"/>
  <c r="DB79" i="1" s="1"/>
  <c r="ED79" i="1"/>
  <c r="CC146" i="1"/>
  <c r="DB146" i="1" s="1"/>
  <c r="CC39" i="1"/>
  <c r="DB39" i="1" s="1"/>
  <c r="BF153" i="1"/>
  <c r="BF154" i="1" s="1"/>
  <c r="CC151" i="1"/>
  <c r="DB151" i="1" s="1"/>
  <c r="DC80" i="1"/>
  <c r="DA153" i="1"/>
  <c r="DA154" i="1" s="1"/>
  <c r="CC34" i="1"/>
  <c r="DB34" i="1" s="1"/>
  <c r="ED122" i="1"/>
  <c r="DC142" i="1"/>
  <c r="CD150" i="1"/>
  <c r="CC72" i="1"/>
  <c r="DB72" i="1" s="1"/>
  <c r="ED72" i="1"/>
  <c r="CD104" i="1"/>
  <c r="DX154" i="1"/>
  <c r="DC148" i="1"/>
  <c r="ED148" i="1" s="1"/>
  <c r="DD153" i="1"/>
  <c r="DD154" i="1" s="1"/>
  <c r="AE80" i="1"/>
  <c r="BD80" i="1" s="1"/>
  <c r="DN154" i="1"/>
  <c r="DP154" i="1"/>
  <c r="BV144" i="1"/>
  <c r="BV154" i="1" s="1"/>
  <c r="AE149" i="1"/>
  <c r="BD149" i="1" s="1"/>
  <c r="EC149" i="1"/>
  <c r="BE144" i="1" l="1"/>
  <c r="DC150" i="1"/>
  <c r="DC145" i="2"/>
  <c r="DZ154" i="1"/>
  <c r="DV154" i="1"/>
  <c r="DB153" i="2"/>
  <c r="EE154" i="2"/>
  <c r="DC104" i="1"/>
  <c r="ED104" i="1" s="1"/>
  <c r="DB40" i="2"/>
  <c r="EE40" i="2"/>
  <c r="DB154" i="2"/>
  <c r="EE156" i="2"/>
  <c r="DB105" i="2"/>
  <c r="EE105" i="2"/>
  <c r="DB81" i="2"/>
  <c r="EE81" i="2"/>
  <c r="DC154" i="2"/>
  <c r="CC145" i="2"/>
  <c r="EE145" i="2" s="1"/>
  <c r="ED142" i="1"/>
  <c r="ED80" i="1"/>
  <c r="BE153" i="1"/>
  <c r="EC153" i="1" s="1"/>
  <c r="DK153" i="1"/>
  <c r="DK154" i="1" s="1"/>
  <c r="EC104" i="1"/>
  <c r="ED34" i="1"/>
  <c r="DC151" i="1"/>
  <c r="ED151" i="1" s="1"/>
  <c r="ED39" i="1"/>
  <c r="G154" i="1"/>
  <c r="EB144" i="1"/>
  <c r="CC150" i="1"/>
  <c r="DB150" i="1" s="1"/>
  <c r="ED150" i="1"/>
  <c r="CD153" i="1"/>
  <c r="EC146" i="1"/>
  <c r="AE144" i="1"/>
  <c r="BD144" i="1" s="1"/>
  <c r="EC144" i="1"/>
  <c r="AF154" i="1"/>
  <c r="CC104" i="1"/>
  <c r="DB104" i="1" s="1"/>
  <c r="CD144" i="1"/>
  <c r="AE153" i="1"/>
  <c r="BD153" i="1" s="1"/>
  <c r="DC144" i="1" l="1"/>
  <c r="ED144" i="1" s="1"/>
  <c r="DB145" i="2"/>
  <c r="DC153" i="1"/>
  <c r="ED153" i="1" s="1"/>
  <c r="BE154" i="1"/>
  <c r="CC153" i="1"/>
  <c r="DB153" i="1" s="1"/>
  <c r="CD154" i="1"/>
  <c r="CC144" i="1"/>
  <c r="DC154" i="1" l="1"/>
  <c r="DB144" i="1"/>
  <c r="DB154" i="1" s="1"/>
  <c r="CC154" i="1"/>
</calcChain>
</file>

<file path=xl/comments1.xml><?xml version="1.0" encoding="utf-8"?>
<comments xmlns="http://schemas.openxmlformats.org/spreadsheetml/2006/main">
  <authors>
    <author>Planeación</author>
  </authors>
  <commentList>
    <comment ref="AB48" authorId="0">
      <text>
        <r>
          <rPr>
            <b/>
            <sz val="11"/>
            <color indexed="81"/>
            <rFont val="Tahoma"/>
            <charset val="1"/>
          </rPr>
          <t>Planeación:</t>
        </r>
        <r>
          <rPr>
            <sz val="11"/>
            <color indexed="81"/>
            <rFont val="Tahoma"/>
            <charset val="1"/>
          </rPr>
          <t xml:space="preserve">
D. Educación y Cultura Ambiental $88.067.217 D. Ciencias Salud $31.302.788
     </t>
        </r>
      </text>
    </comment>
    <comment ref="Z110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cinexcusa 
</t>
        </r>
      </text>
    </comment>
    <comment ref="W124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Y124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W12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Y126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comments2.xml><?xml version="1.0" encoding="utf-8"?>
<comments xmlns="http://schemas.openxmlformats.org/spreadsheetml/2006/main">
  <authors>
    <author>Planeación</author>
  </authors>
  <commentList>
    <comment ref="AB49" authorId="0">
      <text>
        <r>
          <rPr>
            <b/>
            <sz val="11"/>
            <color indexed="81"/>
            <rFont val="Tahoma"/>
            <charset val="1"/>
          </rPr>
          <t>Planeación:</t>
        </r>
        <r>
          <rPr>
            <sz val="11"/>
            <color indexed="81"/>
            <rFont val="Tahoma"/>
            <charset val="1"/>
          </rPr>
          <t xml:space="preserve">
D. Educación y Cultura Ambiental $88.067.217 D. Ciencias Salud $31.302.788
     </t>
        </r>
      </text>
    </comment>
    <comment ref="Z111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cinexcusa 
</t>
        </r>
      </text>
    </comment>
    <comment ref="W125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Y125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W12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Y127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sharedStrings.xml><?xml version="1.0" encoding="utf-8"?>
<sst xmlns="http://schemas.openxmlformats.org/spreadsheetml/2006/main" count="1266" uniqueCount="449">
  <si>
    <t>EXCEDENTES FACIEN</t>
  </si>
  <si>
    <t>EXCEDENTES F. ECONOMÍA Y ADMINISTRACIÓN</t>
  </si>
  <si>
    <t>EXCEDENTES F. CIENCIAS SOCIALES Y HUMANAS</t>
  </si>
  <si>
    <t>TRASLADOS</t>
  </si>
  <si>
    <t>EXCEENTES F. CIENCIAS SOCIALES Y HUMANAS</t>
  </si>
  <si>
    <t>RECURSOS DOCTORADO EDUCACIÓN Y CULTURA A.</t>
  </si>
  <si>
    <t>RECURSOS DOCTORADO CIENCIAS DE LA SALUD</t>
  </si>
  <si>
    <t>EXCEDENTES USCO</t>
  </si>
  <si>
    <t>ADICIÓN:</t>
  </si>
  <si>
    <t>VALOR</t>
  </si>
  <si>
    <t xml:space="preserve">FUENTES </t>
  </si>
  <si>
    <t>TOTAL PLAN DE ACCION 2019</t>
  </si>
  <si>
    <t>EXTENSION</t>
  </si>
  <si>
    <t>PLANEACION</t>
  </si>
  <si>
    <t>INVESTIGACIONES</t>
  </si>
  <si>
    <t>CAPACITACION</t>
  </si>
  <si>
    <t>BIENESTAR UNIVERSITARIO</t>
  </si>
  <si>
    <t>ADQUISICION EQUIPOS</t>
  </si>
  <si>
    <t>CONSTRUCCIONES</t>
  </si>
  <si>
    <t>TOTALES</t>
  </si>
  <si>
    <t>TOTAL SUBSISTEMA ADMINISTRATIVO</t>
  </si>
  <si>
    <t>VIC. ADTIVA.</t>
  </si>
  <si>
    <t>Formación del Personal Administrativo y Operativo</t>
  </si>
  <si>
    <t>SA-PY7.2</t>
  </si>
  <si>
    <t>VIC.ADTIVA.
F. SALUD
F. EDUCACIÓN</t>
  </si>
  <si>
    <t>Capacitación  del personal Administrativo y de Trabajadores Oficiales, con énfasis en HUMANIZACIÓN.   PLAN DE MEJORAMIENTO.</t>
  </si>
  <si>
    <t>SA-PY7.1</t>
  </si>
  <si>
    <t>SA-PY7. Formación y Capacitación al Personal Administrativo y Operativo.</t>
  </si>
  <si>
    <t>Gestión de la Estructura académico-administrativa y financiera.</t>
  </si>
  <si>
    <t>SA-PY3.7</t>
  </si>
  <si>
    <t>RECTORÍA
ACREDITACIÓN INSTITUCIONAL</t>
  </si>
  <si>
    <t>Sistema de Información de Aseguramiento de la Calidad en concordancia con las necesidades de Los procesos de Renovación de Registros, Acreditación y Renovación de Acreditación Institucional y de programas académicos de pregrado y postgrado. PLAN DE MEJORAMIENTO.</t>
  </si>
  <si>
    <t>SA-PY3.6</t>
  </si>
  <si>
    <t xml:space="preserve"> Formulación de un Modelo de Autoevaluación Institucional que referencia la metodología del proceso de autoevaluación, con base en los lineamientos institucionales (PEU) nacionales e internacionales. PLAN DE MEJORAMIENTO.                </t>
  </si>
  <si>
    <t>SA-PY3.5</t>
  </si>
  <si>
    <t>RECTORÍA</t>
  </si>
  <si>
    <t>Afiliación y Auditoria de Seguimiento de la Certificación.</t>
  </si>
  <si>
    <t>SA-PY3.4</t>
  </si>
  <si>
    <t>Ejecución y Desarrollo del Sistema de Gestión en Seguridad y Salud en el Trabajo.</t>
  </si>
  <si>
    <t>SA-PY3.3</t>
  </si>
  <si>
    <t>Ejecución y Desarrollo del Sistema de Gestión de Calidad.</t>
  </si>
  <si>
    <t>SA-PY3.2</t>
  </si>
  <si>
    <t xml:space="preserve"> Ejecución y Desarrollo del Sistema de Gestión Ambiental.</t>
  </si>
  <si>
    <t>SA-PY3.1</t>
  </si>
  <si>
    <t>SA-PY3.  Aseguramiento de los sistemas de Gestión de Calidad y Gestión Ambiental.</t>
  </si>
  <si>
    <t>ADMINISTRATIVO</t>
  </si>
  <si>
    <t>Equipos de Laboratorios</t>
  </si>
  <si>
    <t>SA-PY2.12</t>
  </si>
  <si>
    <t>Equipos de Cómputos (Estudiantes)</t>
  </si>
  <si>
    <t>SA-PY2.10</t>
  </si>
  <si>
    <t xml:space="preserve"> Inventario de los recursos de apoyo académico existentes en la Universidad (laboratorios, equipos, otros) y el estado actual de los mismos. PLAN DE MEJORAMIENTO.</t>
  </si>
  <si>
    <t>SA-PY2.8</t>
  </si>
  <si>
    <t>Diseño y actualización permanente del sistema integrado de información de la Institución (CTIC).</t>
  </si>
  <si>
    <t>SA-PY2.7</t>
  </si>
  <si>
    <t>VIC.ADTIVA.
F. SALUD</t>
  </si>
  <si>
    <t>Dotación, renovación de Software y licencias.</t>
  </si>
  <si>
    <t>SA-PY2.6</t>
  </si>
  <si>
    <t>VIC.ADTIVA.
F. SALUD
F. INGENIERÍA
FACECO
F. EDUCACIÓN
F.C.J.P.
FACIEN</t>
  </si>
  <si>
    <t xml:space="preserve"> Mantenimiento de Equipos de Laboratorio,  Muebles, accesorios y equipos de Oficina de todas las sedes.</t>
  </si>
  <si>
    <t>SA-PY2.5</t>
  </si>
  <si>
    <t>VIC.ADTIVA.
F. SALUD 
FACECO
F.EDUCACIÓN
F.C.S.H., F.C.J.P.
FACIEN</t>
  </si>
  <si>
    <t>Dotación de muebles y equipos para aulas y oficinas de todas las Sedes.</t>
  </si>
  <si>
    <t>SA-PY2.4</t>
  </si>
  <si>
    <t>VIC.ADTIVA.
F.INGENIERÍA
F. EDUCACIÓN
FACIEN</t>
  </si>
  <si>
    <t>Dotación de equipos, accesorios, reactivos e insumos para  laboratorios de todas las Sedes.</t>
  </si>
  <si>
    <t>SA-PY2.3</t>
  </si>
  <si>
    <t>SA-PY2.b  Desarrollo, dotación y Mantenimiento de las Sedes.</t>
  </si>
  <si>
    <t>VIC.ADTIVA.
F. SALUD
FACECO
F. EDUCACIÓN
F.C.J.P.
FACIEN</t>
  </si>
  <si>
    <t>Adecuaciones, mantenimientos y mejoras en infraestructura de todas las sedes.</t>
  </si>
  <si>
    <t>SA-PY2.2</t>
  </si>
  <si>
    <t>Construcción de infraestructura física en todas las Sedes.</t>
  </si>
  <si>
    <t>SA-PY2.1</t>
  </si>
  <si>
    <t>SA-PY2.a  Construcción y mantenimiento de las Sedes.</t>
  </si>
  <si>
    <t>VIC. ADTIVA.
F. SALUD</t>
  </si>
  <si>
    <t>Revisión y análisis de la normatividad con el propósito de actualizarla de acuerdo a lineamientos legales vigentes que rigen la Educación Superior.</t>
  </si>
  <si>
    <t xml:space="preserve">SA-PY1.1 </t>
  </si>
  <si>
    <t>SA-PY1.   Revisión, reforma y actualización de la Plataforma Jurídico - Normativa institucional.</t>
  </si>
  <si>
    <t>TOTAL SUBSISTEMA BIENESTAR UNIVERSITARIO</t>
  </si>
  <si>
    <t>Prestación servicio Psicológico a estudiantes en las Sedes.</t>
  </si>
  <si>
    <t>SB-PY7.3</t>
  </si>
  <si>
    <t>Prestación servicio odontológico a estudiantes en las Sedes.</t>
  </si>
  <si>
    <t>SB-PY7.2</t>
  </si>
  <si>
    <t>Prestación servicio médico a estudiantes en las Sedes.</t>
  </si>
  <si>
    <t>SB-PY7.1</t>
  </si>
  <si>
    <t>SB-PY7.  Prestación de Servicios de Salud.</t>
  </si>
  <si>
    <t>Número de estudiantes activos.</t>
  </si>
  <si>
    <t>SB-PY6.1</t>
  </si>
  <si>
    <t>SB-PY6.  Promoción de la Permanencia y Graduación Estudiantil en la USCO.</t>
  </si>
  <si>
    <t>Prestación de servicio de restaurante a los estudiantes en las Sedes.</t>
  </si>
  <si>
    <t>SB-PY5.1</t>
  </si>
  <si>
    <t>SB-PY5.  Desarrollo Socio-Económico con responsabilidad y compromiso.</t>
  </si>
  <si>
    <t>Eventos "Humanización USCO somos todos"</t>
  </si>
  <si>
    <t>SB-PY4.5</t>
  </si>
  <si>
    <t xml:space="preserve"> Eventos, convivencia, integración y reconocimiento</t>
  </si>
  <si>
    <t>SB-PY4.4</t>
  </si>
  <si>
    <t xml:space="preserve">Evaluación periódica de programas, proyectos y servicios de Bienestar universitario. PLAN DE MEJORAMIENTO. </t>
  </si>
  <si>
    <t>SB-PY4.3</t>
  </si>
  <si>
    <t xml:space="preserve">Definición de estrategias para la difusión del portafolio de servicios de bienestar universitario en la comunidad universitaria. PLAN DE MEJORAMIENTO. </t>
  </si>
  <si>
    <t>SB-PY4.2</t>
  </si>
  <si>
    <t>VIC. ADTIVA.
F. SALUD
FACECO
F. EDUCACIÓN
F.C.S.H.
FACIEN</t>
  </si>
  <si>
    <t xml:space="preserve"> Apoyo a actividades de clima organizacional, docentes, estudiantes y administrativos en las Sedes</t>
  </si>
  <si>
    <t>SB-PY4.1</t>
  </si>
  <si>
    <t>SB-PY4. Desarrollo Humano con responsabilidad y compromiso.</t>
  </si>
  <si>
    <t>VIC. ADTIVA.
F. SALUD
FACECO
FACIEN</t>
  </si>
  <si>
    <t>Actividades Culturales de todas las Sedes.</t>
  </si>
  <si>
    <t>SB-PY3.1</t>
  </si>
  <si>
    <t>SB-PY3. Cultura con responsabilidad y compromiso.</t>
  </si>
  <si>
    <t>Actividades deportivas de todas las Sedes.</t>
  </si>
  <si>
    <t>SB-PY2.1</t>
  </si>
  <si>
    <t>SB-PY2.  Recreación y Deportes con responsabilidad y compromiso.</t>
  </si>
  <si>
    <t xml:space="preserve"> Programa Duerma o Descanse.</t>
  </si>
  <si>
    <t>SB-PY1.4</t>
  </si>
  <si>
    <t>Programa de Inclusión y atención de la población con enfoque diferencial en la USCO. (Intérpretes).</t>
  </si>
  <si>
    <t>SB-PY1.3</t>
  </si>
  <si>
    <t>USCO saludable.</t>
  </si>
  <si>
    <t>SB-PY1.2</t>
  </si>
  <si>
    <t xml:space="preserve"> Programa de Prevención integral a la población vulnerable (CSPA - ETS - comunidad LGTBI entre otras).</t>
  </si>
  <si>
    <t>SB-PY1.1</t>
  </si>
  <si>
    <t>SB-PY1.   Universidad Saludable.</t>
  </si>
  <si>
    <t>TOTAL SUBSISTEMA DE PROYECCION SOCIAL</t>
  </si>
  <si>
    <t>VIPS 
F. SALUD
F.EDUCACIÓN
F.C.J.P.
FACIEN</t>
  </si>
  <si>
    <t>Elaboración de prospectos, revistas e instructivos-publicidad.</t>
  </si>
  <si>
    <t>SP-PY8.2</t>
  </si>
  <si>
    <t>VIPS
F. SALUD</t>
  </si>
  <si>
    <t>Fortalecimiento de medios audiovisuales institucionales.</t>
  </si>
  <si>
    <t>SP-PY8.1</t>
  </si>
  <si>
    <t>SP-PY8. Fortalecimiento del sistema de comunicación e información institucional.</t>
  </si>
  <si>
    <t>VIPS</t>
  </si>
  <si>
    <t>Programa de formación para el trabajo y el desarrollo humano con procesos de interacción de la Educación Superior con la Educación Media.</t>
  </si>
  <si>
    <t>SP-PY7.2</t>
  </si>
  <si>
    <t>Articulación de la Educación Superior con la educación Media.</t>
  </si>
  <si>
    <t>SP-PY7.1</t>
  </si>
  <si>
    <t>SP-PY7.  Articulación de la Educación Superior con la Educación formal, el trabajo y el desarrollo humano.</t>
  </si>
  <si>
    <t>PROYECCION SOCIAL</t>
  </si>
  <si>
    <t>Apoyo a la gestión de proyectos de agenda social.</t>
  </si>
  <si>
    <t>SP-PY6.1</t>
  </si>
  <si>
    <t>SP-PY6. Estructuración y Desarrollo de la Agenda Social Regional.</t>
  </si>
  <si>
    <t>Creación y puesta en marcha del Centro de Estudios Regionales.</t>
  </si>
  <si>
    <t>SP-PY5.1</t>
  </si>
  <si>
    <t>SP-PY5.  Consolidación de la Alianza Estratégica Estado-Universidad-Empresa-Ciudadanía.</t>
  </si>
  <si>
    <t>Unidad de Emprendimiento e Innovación.</t>
  </si>
  <si>
    <t>SP-PY4.2</t>
  </si>
  <si>
    <t xml:space="preserve"> Unidad de Atención Psicológica (USAP)</t>
  </si>
  <si>
    <t>SP-PY4.1</t>
  </si>
  <si>
    <t>SP-PY4.  Estructuración y desarrollo Unidades de Atención Especializada y de Emprendimiento e Innovación Institucional.</t>
  </si>
  <si>
    <t>Ejecución de actividades de Responsabilidad Social Universitaria.</t>
  </si>
  <si>
    <t>SP-PY3.9</t>
  </si>
  <si>
    <t xml:space="preserve"> Fortalecimiento para la Humanización para la proyección Social.</t>
  </si>
  <si>
    <t>SP-PY3.8</t>
  </si>
  <si>
    <t>RECTORÍA
VIPS</t>
  </si>
  <si>
    <t xml:space="preserve"> Fortalecimiento de la apropiacion social del conocimiento para la Ciencia para la Paz.</t>
  </si>
  <si>
    <t>SP-PY3.7</t>
  </si>
  <si>
    <t>VIPS 
F. SALUD
F. INGENIERÍA
FACECO, F. EDUCACIÓN
F.C.S.H., F.C.J.P., FACIEN</t>
  </si>
  <si>
    <t>Apoyo a la gestión academico-administrativa de la Proyección Social.</t>
  </si>
  <si>
    <t>SP-PY3.6</t>
  </si>
  <si>
    <t>Estudio para evaluar la interacción con el medio social, cultural, político y productivo. PLAN DE MEJORAMIENTO.</t>
  </si>
  <si>
    <t>SP-PY3.5</t>
  </si>
  <si>
    <t>Ejecución Banco de Proyectos, convocatoria interna Proyección Social.</t>
  </si>
  <si>
    <t>SP-PY3.4</t>
  </si>
  <si>
    <t>Evaluacion del impacto social de las prácticas profesionales y las pasantías. PLAN DE MEJORAMIENTO.</t>
  </si>
  <si>
    <t>SP-PY3.3</t>
  </si>
  <si>
    <t>VIPS
FACECO</t>
  </si>
  <si>
    <t>Gestión y ejecución de Proyectos solidarios cofinanciados (Convenios).</t>
  </si>
  <si>
    <t>SP-PY3.2</t>
  </si>
  <si>
    <t xml:space="preserve"> Macroproyectos de Proyección social cofinanciados por la Universidad Surcolombiana  (DESCA, Museo Geológico, Banco de Sangre y Surcopaz) .</t>
  </si>
  <si>
    <t>SP-PY3.1</t>
  </si>
  <si>
    <t>SP-PY3. Reformulación y fortalecimiento de las modalidades y formas de Proyección Social.</t>
  </si>
  <si>
    <t>Aprobación e Implementación de la política de regionalización de la Universidad.</t>
  </si>
  <si>
    <t>SP-PY2.1</t>
  </si>
  <si>
    <t>SP-PY2.  Regionalización de la USCO</t>
  </si>
  <si>
    <t>Promover el dominio de al menos una lengua extranjera en la comunidad universitaria para facilitar la inserción en un mundo globalizado. PLAN DE MEJORAMIENTO.</t>
  </si>
  <si>
    <t>SP-PY1.5</t>
  </si>
  <si>
    <t>Fortalecer la Internacionalización de la Universidad</t>
  </si>
  <si>
    <t>SP-PY1.4</t>
  </si>
  <si>
    <t>VIPS
F. SALUD, FACECO
F. EDUCACIÓN</t>
  </si>
  <si>
    <t>Apoyo a los procesos y fortalecimiento de alianzas académico-administrativas entre la Universidad y organismos públicos y privados.</t>
  </si>
  <si>
    <t>SP-PY1.3</t>
  </si>
  <si>
    <t>Fomentar la participación de la comunidad universitaria en redes de conocimiento en contextos multiculturales para facilitar el diálogo de saberes, la formación de masa crítica y el abordaje de problemáticas comunes en entornos homólogos. PLAN DE MEJORAMIENTO.</t>
  </si>
  <si>
    <t>SP-PY1.2</t>
  </si>
  <si>
    <t>VIPS 
F. SALUD, FACECO
F.EDUCACIÓN
F.C.S.H., FACIEN, F.C.J.P.</t>
  </si>
  <si>
    <t>Apoyo a la visibilidad nacional e internacional de la Universidad (movilidad académica de docentes, estudiantes y personal administrativo y expertos invitados).</t>
  </si>
  <si>
    <t>SP-PY1.1</t>
  </si>
  <si>
    <t>SP-PY1.  Internacionalización Académica Curricular y Administrativa.</t>
  </si>
  <si>
    <t>TOTAL SUBSISTEMA: DE INVESTIGACIÓN</t>
  </si>
  <si>
    <t>Apoyo y fortalecimiento a la consolidación de la editorial Surcolombiana( corrección de estilo, diseño, diagramación, capacitación a editores y publicación de libros institucionales)</t>
  </si>
  <si>
    <t>SI-PY9.3</t>
  </si>
  <si>
    <t>Indexación de cuatro revistas científicas en Bases de Datos e Índices Bibliográficos.</t>
  </si>
  <si>
    <t>SI-PY9.2</t>
  </si>
  <si>
    <t>VIPS, FACECO
F.C.J.Y.P
FACIEN</t>
  </si>
  <si>
    <t xml:space="preserve"> Evaluación, corrección de estilo, diseño, elaboración de abtastracs, diagramación, impresión, publicación de libros en diferentes modalides, artículos y/o revistas institucionales.</t>
  </si>
  <si>
    <t>SI-PY9.1</t>
  </si>
  <si>
    <t>SI-PY9.  Articulación y fortalecimiento de las publicaciones Científicas  y Académicas.</t>
  </si>
  <si>
    <t>Diseño e implementación del plan estratégico de Ciencia, Tecnología e Innovación y Desarrollo CTI+D. PLAN MEJORAMIENTO.</t>
  </si>
  <si>
    <t>SI-PY8.2</t>
  </si>
  <si>
    <t>VIPS
FACIEN</t>
  </si>
  <si>
    <t>Apoyo al fortalecimiento de centros de investigación y vigilancia tecnológica e innovación.</t>
  </si>
  <si>
    <t>SI-PY8.1</t>
  </si>
  <si>
    <t>SI-PY8.  Creación y Fortalecimiento de Centros, Institutos de investigación, desarrollo y vigilancia Tecnológica e Innovación.</t>
  </si>
  <si>
    <t xml:space="preserve"> Procedimientos de recolección, organización, producción y publicación de la información institucional en el sistema de información SIVIPS. PLAN DE MEJORAMIENTO.</t>
  </si>
  <si>
    <t>SI-PY6.2</t>
  </si>
  <si>
    <t xml:space="preserve">Análisis, diseño e implementación de un sistema de información integrado para la Vicerrectoría de Investigación y Proyección Social. PLAN DE MEJORAMIENTO. </t>
  </si>
  <si>
    <t>SI-PY6.1</t>
  </si>
  <si>
    <t>SI-PY6.  Articulación del Sistema Integrado de Información (TICS).</t>
  </si>
  <si>
    <t xml:space="preserve"> Cofinanciación de convenios y proyectos de investigación en convocatorias externas,  nacionales e internacionales.</t>
  </si>
  <si>
    <t>SI-PY5.1</t>
  </si>
  <si>
    <t>SI-PY5. Calidad Académica y gestión de Investigación.</t>
  </si>
  <si>
    <t xml:space="preserve"> Apoyo a procesos de patentabilidad</t>
  </si>
  <si>
    <t>SI-PY4.9</t>
  </si>
  <si>
    <t>Productos de propiedad intelectual con resolución de concedidos por la SIC. PLAN DE MEJORAMIENTO.</t>
  </si>
  <si>
    <t>SI-PY4.8</t>
  </si>
  <si>
    <t>Productos de propiedad intelectual registrados en la SIC. PLAN DE MEJORAMIENTO.</t>
  </si>
  <si>
    <t>SI-PY4.7</t>
  </si>
  <si>
    <t>Estatuto del Investigador. PLAN DE MEJORAMIENTO.</t>
  </si>
  <si>
    <t>SI-PY4.6</t>
  </si>
  <si>
    <t>Estatuto de producción intelectual actualizado a la dinámica institucional y a la normativa vigente. PLAN DE MEJORAMIENTO.</t>
  </si>
  <si>
    <t>SI-PY4.5</t>
  </si>
  <si>
    <t xml:space="preserve"> Fortalecimiento  de las capacidades investigativas de grupos de investigación en modalidad Proyectos.</t>
  </si>
  <si>
    <t>SI-PY4.4</t>
  </si>
  <si>
    <t xml:space="preserve"> Humanización para la investigación</t>
  </si>
  <si>
    <t>SI-PY4.3</t>
  </si>
  <si>
    <t>Fortalecimiento de la Ciencia para la Paz.</t>
  </si>
  <si>
    <t>SI-PY4.2</t>
  </si>
  <si>
    <t>Desarrollo de convocatorias internas para financiar proyectos de Investigación.</t>
  </si>
  <si>
    <t>SI-PY4.1</t>
  </si>
  <si>
    <t>SI-PY4.  Calidad Académica y ejecución de Investigación.</t>
  </si>
  <si>
    <t>Vinculación de jóvenes investigadores en modalidad de médicos rurales.</t>
  </si>
  <si>
    <t>SI-PY3.4</t>
  </si>
  <si>
    <t>VIPS
F. EDUCACIÓN</t>
  </si>
  <si>
    <t>Apoyo a la formación de jóvenes investigadores adscritos a grupos de investigación.</t>
  </si>
  <si>
    <t>SI-PY3.3</t>
  </si>
  <si>
    <t>VIPS
F. EDUCACIÓN
FACIEN</t>
  </si>
  <si>
    <t>Financiación de proyectos ejecutados por semilleros de investigación.</t>
  </si>
  <si>
    <t>SI-PY3.2</t>
  </si>
  <si>
    <t>Financiación de proyectos de investigación en modalidad trabajos de grado.</t>
  </si>
  <si>
    <t>SI-PY3.1</t>
  </si>
  <si>
    <t>SI-PY3. Calidad Académica y Formación a través de la Investigación</t>
  </si>
  <si>
    <t>INVESTIGACION</t>
  </si>
  <si>
    <t>Número de Facultades con Líneas de Investigación aprobadas. PLAN DE MEJORAMIENTO.</t>
  </si>
  <si>
    <t>SI-PY2.15</t>
  </si>
  <si>
    <r>
      <t xml:space="preserve">Grupos de Investigación categorizados en C en el escalafón Colciencias. </t>
    </r>
    <r>
      <rPr>
        <b/>
        <sz val="10"/>
        <color indexed="8"/>
        <rFont val="Calibri"/>
        <family val="2"/>
      </rPr>
      <t>PLAN DE MEJORAMIENTO.</t>
    </r>
  </si>
  <si>
    <t>SI-PY2.14</t>
  </si>
  <si>
    <r>
      <t xml:space="preserve">Grupos de Investigación categorizados en B en el escalafón Colciencias. </t>
    </r>
    <r>
      <rPr>
        <b/>
        <sz val="10"/>
        <color indexed="8"/>
        <rFont val="Calibri"/>
        <family val="2"/>
      </rPr>
      <t>PLAN DE MEJORAMIENTO.</t>
    </r>
  </si>
  <si>
    <t>SI-PY2.13</t>
  </si>
  <si>
    <r>
      <t xml:space="preserve">Grupos de Investigación categorizados en A en el escalafón Colciencias. </t>
    </r>
    <r>
      <rPr>
        <b/>
        <sz val="10"/>
        <color indexed="8"/>
        <rFont val="Calibri"/>
        <family val="2"/>
      </rPr>
      <t>PLAN DE MEJORAMIENTO.</t>
    </r>
  </si>
  <si>
    <t>SI-PY2.12</t>
  </si>
  <si>
    <r>
      <t xml:space="preserve">Grupos de Investigación categorizados en A1 en el escalafón Colciencias. </t>
    </r>
    <r>
      <rPr>
        <b/>
        <sz val="10"/>
        <color indexed="8"/>
        <rFont val="Calibri"/>
        <family val="2"/>
      </rPr>
      <t>PLAN DE MEJORAMIENTO.</t>
    </r>
  </si>
  <si>
    <t>SI-PY2.11</t>
  </si>
  <si>
    <r>
      <t xml:space="preserve">Docentes investigadores categorizados en Junior en el escalafón Colciencias. </t>
    </r>
    <r>
      <rPr>
        <b/>
        <sz val="10"/>
        <color indexed="8"/>
        <rFont val="Calibri"/>
        <family val="2"/>
      </rPr>
      <t>PLAN DE MEJORAMIENTO.</t>
    </r>
  </si>
  <si>
    <t>SI-PY2.10</t>
  </si>
  <si>
    <t>Docentes investigadores categorizados en Asociados en el escalafón Colciencias. PLAN DE MEJORAMIENTO.</t>
  </si>
  <si>
    <t>SI-PY2.9</t>
  </si>
  <si>
    <t xml:space="preserve"> Docentes investigadores categorizados en Senior en el escalafón Colciencias. PLAN DE MEJORAMIENTO.</t>
  </si>
  <si>
    <t>SI-PY2.8</t>
  </si>
  <si>
    <t>VIPS 
SALUD
FACECO
F.EDUCACIÓN
FACIEN</t>
  </si>
  <si>
    <t>Consolidación de grupos de Investigación reconocidos.</t>
  </si>
  <si>
    <t>SI-PY2.7</t>
  </si>
  <si>
    <t xml:space="preserve">VIPS </t>
  </si>
  <si>
    <t>Participación en Redes de Conocimiento resultado de procesos de investigación. PLAN DE MEJORAMIENTO.</t>
  </si>
  <si>
    <t>SI-PY2.6</t>
  </si>
  <si>
    <t xml:space="preserve"> Apoyo al desarrollo de los Doctorados: Agroindustria y Desarrollo Agricola Sostenible;  Educación y Cultura Ambiental; en Ciencias de la Salud.</t>
  </si>
  <si>
    <t>SI-PY2.5</t>
  </si>
  <si>
    <t xml:space="preserve"> Elaboración del proyecto de política de investigación de la Institución. PLAN DE MEJORAMIENTO.</t>
  </si>
  <si>
    <t>SI-PY2.4</t>
  </si>
  <si>
    <t>VIPS, SALUD
FACECO, FACIEN, F.C.J.P.</t>
  </si>
  <si>
    <t xml:space="preserve"> Apoyo a la formulación, ejecución y divulgación de eventos académicos, presentación de ponencias en eventos nacionales e internacionales.</t>
  </si>
  <si>
    <t>SI-PY2.3</t>
  </si>
  <si>
    <t>Apoyo académico científico al desarrollo de los proyectos formulados por los grupos de trabajo de las instituciones educativas, en el marco del convenio ONDAS.</t>
  </si>
  <si>
    <t>SI-PY2.2</t>
  </si>
  <si>
    <t>VIPS
F. SALUD, FACIEN</t>
  </si>
  <si>
    <t>Taller  Carpintería para la investigación con experto en Gestión  y apropiación social del conocimiento.</t>
  </si>
  <si>
    <t>SI-PY2.1</t>
  </si>
  <si>
    <t>SI-PY2.  Calidad Académica y formación en Investigación.</t>
  </si>
  <si>
    <t>Fortalecimiento de las capacidades investigativas para la acreditación Institucional (Generación, apropiación y transferencia de nuevo conocimiento.)</t>
  </si>
  <si>
    <t>SI-PY1.4</t>
  </si>
  <si>
    <t>VIPS
FACECO
F.C.S.H., FACIEN</t>
  </si>
  <si>
    <t>Apoyo a la formación de alto nivel (Maestrías, doctorados, posdoctorados).</t>
  </si>
  <si>
    <t>SI-PY1.3</t>
  </si>
  <si>
    <t>Habilitación de procedimientos en el marco proceso de acreditación  de laboratorios especializados para investigación.</t>
  </si>
  <si>
    <t>SI-PY1.2</t>
  </si>
  <si>
    <t xml:space="preserve"> Adquisición, mantenimiento y repotenciación de equipos especializados para la investigación.</t>
  </si>
  <si>
    <t>SI-PY1.1</t>
  </si>
  <si>
    <t>SI-PY1.  Fortalecimiento de las capacidades de investigación, desarrollo e innovación.</t>
  </si>
  <si>
    <t>TOTAL SUBSISTEMA DE FORMACION</t>
  </si>
  <si>
    <t>V.ACADEMICA</t>
  </si>
  <si>
    <t xml:space="preserve"> Creación de un centro de costos para soportar las solicitudes de  adquisiciones bibliográficas de los programas académicos de pregrado y postgrados. PLAN DE MEJORAMIENTO.</t>
  </si>
  <si>
    <t>SF-PY8.4</t>
  </si>
  <si>
    <t>Implementación del software Dsplace repositorio de producción intelectual.</t>
  </si>
  <si>
    <t>SF-PY8.3</t>
  </si>
  <si>
    <t>Revisión bibliográfica y de bases de datos en coherencia con los desarrollos de las areas del conocimiento y las colecciones registradas en el sistema de bibliotecas. PLAN DE MEJORAMIENTO.</t>
  </si>
  <si>
    <t>SF-PY8.2</t>
  </si>
  <si>
    <t>V.ACADEMICA
F. SALUD, F. INGENIERÍA, FACECO
F. EDUCACIÓN, F.C.S.H.,
F.C.J.Y P., FACIEN</t>
  </si>
  <si>
    <t xml:space="preserve"> Adquisición de Recursos Bibliograficos y Bases de Datos</t>
  </si>
  <si>
    <t>SF-PY8.1</t>
  </si>
  <si>
    <t>SF-PY8.  Fortalecimiento y Fomento del Sistema de Bibliotecas de la Universidad</t>
  </si>
  <si>
    <t>V.ACADEMICA
FACECO
F. EDUCACIÓN
FACIEN</t>
  </si>
  <si>
    <t>Programa de Seguimiento a Graduados.</t>
  </si>
  <si>
    <t>SF-PY7.2</t>
  </si>
  <si>
    <t>Portal y Observatorio Laboral.</t>
  </si>
  <si>
    <t>SF-PY7.1</t>
  </si>
  <si>
    <t>SF-PY7. Fortalecimiento de los Vínculos Universidad - Egresados.</t>
  </si>
  <si>
    <t>VIC. ACADÉMICA
F. SALUD</t>
  </si>
  <si>
    <t>Apoyo a estudiantes en prácticas, pasantías y judicaturas.</t>
  </si>
  <si>
    <t>SF-PY6.2</t>
  </si>
  <si>
    <t>Diseño e Implementación de una Política de Relevo generacional. PLAN DE MEJORAMIENTO.</t>
  </si>
  <si>
    <t>SF-PY6.1</t>
  </si>
  <si>
    <t>SF-PY6. Relevo Generacional con Excelencia Académica.</t>
  </si>
  <si>
    <t xml:space="preserve">Plan de Mejoramiento Subsistema de Formación, con fines de acreditación institucional. PLAN DE MEJORAMIENTO </t>
  </si>
  <si>
    <t>SF-PY5.5</t>
  </si>
  <si>
    <t xml:space="preserve">Evaluación de los currículos y su reforma para hacerlos socialmente pertinentes y académicamente relevantes en coherencia con los planteamientos del PEU,  la Humanización y la Ciencia para la Paz. PLAN DE MEJORAMIENTO. </t>
  </si>
  <si>
    <t>SF-PY5.4</t>
  </si>
  <si>
    <t>V.ACADEMICA
F. SALUD
FACIEN</t>
  </si>
  <si>
    <t>Procesos de Autoevaluación Institucional y renovación de la Acreditación Institucional.</t>
  </si>
  <si>
    <t>SF-PY5.3</t>
  </si>
  <si>
    <t>V.ACADEMICA
F. EDUCACIÓN</t>
  </si>
  <si>
    <t>Acreditación Internacional de Programas Académicos.</t>
  </si>
  <si>
    <t>SF-PY5.2</t>
  </si>
  <si>
    <t>V.ACADEMICA
F. SALUD
FACECO, EDUCACIÓN
F.C.J.YP. , FACIEN</t>
  </si>
  <si>
    <t>Autoevaluación permanente  de programas de pregrado y postgrado - Apoyo a los procesos de autoevaluación en cada programa.</t>
  </si>
  <si>
    <t>SF-PY5.1</t>
  </si>
  <si>
    <t>SF-PY5.  Acreditación de Alta Calidad de la Universidad</t>
  </si>
  <si>
    <t>Promoción de la permanencia y graduación en la Universidad.</t>
  </si>
  <si>
    <t>SF-PY4.5</t>
  </si>
  <si>
    <t>Politica de Inclusión Universidad Surcolombiana. PLAN DE MEJORAMIENTO.</t>
  </si>
  <si>
    <t>SF-PY4.4</t>
  </si>
  <si>
    <t xml:space="preserve">Programa Consejerías Académicas: por un acompañamiento integral al estudiante y al docente Surcolombiano. </t>
  </si>
  <si>
    <t>SF-PY4.3</t>
  </si>
  <si>
    <t xml:space="preserve">Programa de Formación para el fortalecimiento de las Competencias del examen Saber Pro. </t>
  </si>
  <si>
    <t>SF-PY4.2</t>
  </si>
  <si>
    <t xml:space="preserve"> Programa Semestre Cero: Aprestamiento en habilidades de comprensión de Lectura y Matematicas.  </t>
  </si>
  <si>
    <t>SF-PY4.1</t>
  </si>
  <si>
    <t>SF-PY4.  Autoevaluación y Acreditación de Programas Académicos de Pregrado y Postgrado.</t>
  </si>
  <si>
    <t>V.ACADEMICA
F.SALUD</t>
  </si>
  <si>
    <t>Cursos Intersemestrales sobre áreas de conocimiento ofertados por las Facultades.  Plan Quinquenal.</t>
  </si>
  <si>
    <t>SF-PY3.5</t>
  </si>
  <si>
    <t xml:space="preserve"> Sistema Integral de Evaluación Profesoral (CESU)</t>
  </si>
  <si>
    <t>SF-PY3.4</t>
  </si>
  <si>
    <t xml:space="preserve"> Interlingua para Docentes.</t>
  </si>
  <si>
    <t>SF-PY3.3</t>
  </si>
  <si>
    <t>V. ACADÉMICA
F. SALUD, FACECO
F. EDUCACIÓN       FACIEN</t>
  </si>
  <si>
    <t>Capacitación Individual Docente.</t>
  </si>
  <si>
    <t>SF-PY3.2.2</t>
  </si>
  <si>
    <t>Maestrías</t>
  </si>
  <si>
    <t>SF-PY3.2.1</t>
  </si>
  <si>
    <t xml:space="preserve"> Escuela de Formación Pedagógica
(formación y acompañamiento en  Pedagogía, alcance y materialización del PEU y  labor de consejerías).</t>
  </si>
  <si>
    <t>SF-PY3.1.2</t>
  </si>
  <si>
    <t>Doctorados</t>
  </si>
  <si>
    <t>SF-PY3.1.1</t>
  </si>
  <si>
    <t>SF-PY3. Desarrollo Profesoral Permanente en lo Pedagógico, Disciplinar y Profesional.</t>
  </si>
  <si>
    <t>Escuela de Educación Virtual  
(ESTRUCTURA ORGÁNICA Y PROGRAMA DE GOBIERNO)</t>
  </si>
  <si>
    <t>SF-PY2.4</t>
  </si>
  <si>
    <t xml:space="preserve"> Oferta Académica para zonas rurales. (EJES PROGRAMA DE GOBIERNO HUMANIZACIÓN Y CIENCIA PARA LA PAZ)</t>
  </si>
  <si>
    <t>SF-PY2.3</t>
  </si>
  <si>
    <t xml:space="preserve">Escuela de Formación e Innovación Tecnológica.
  </t>
  </si>
  <si>
    <t>SF-PY2.2</t>
  </si>
  <si>
    <t>V.ACADEMICA
FACECO
EDUCACIÓN
FACIEN</t>
  </si>
  <si>
    <t>Apoyo a la realización de estudios y diseños para la creación de programas de pregrado y postgrados.</t>
  </si>
  <si>
    <t>SF-PY2.1</t>
  </si>
  <si>
    <t>SF-PY2. Creación de nueva Oferta Académica en las Sedes.</t>
  </si>
  <si>
    <t xml:space="preserve"> Actividades para promover el reconocimiento contextual, nuestra historia y el buen vivir. </t>
  </si>
  <si>
    <t>SF-PY1.6</t>
  </si>
  <si>
    <t xml:space="preserve"> Promoción de la cultura de la participación y la democracia deliberativa en la comunidad estudiantil de programas de pregrado en órganos de dirección y asesoría. PLAN DE MEJORAMIENTO.</t>
  </si>
  <si>
    <t>SF-PY1.5</t>
  </si>
  <si>
    <t>Inducción a  miembros de la dirección académica y administrativa de la Universidad ( Consejos: Superior, Académico y de Facultades y Funcionarios responsables de unidades de apoyo estratégico). PLAN DE MEJORAMIENTO</t>
  </si>
  <si>
    <t>SF-PY1.4</t>
  </si>
  <si>
    <t xml:space="preserve"> Promoción de la imagen corporativa institucional, portafolio de servicios oferta académica.</t>
  </si>
  <si>
    <t>SF-PY1.3</t>
  </si>
  <si>
    <t>V. ACADÉMICA</t>
  </si>
  <si>
    <t>Actividades para promover la Apropiación de la teleología Institucional. (Misión, La Visión, el Proyecto Educativo Institucional PEU) en procesos sustantivos de Docencia, Investigación y Extensión.</t>
  </si>
  <si>
    <t>SF-PY1.2</t>
  </si>
  <si>
    <t>V.ACADEMICA
FACECO
EDUCACIÓN</t>
  </si>
  <si>
    <t>Actividades de Inducción y Reinducción con docentes, estudiantes y Administrativos para promover el conocimiento de la Teleología.</t>
  </si>
  <si>
    <t>SF-PY1.1</t>
  </si>
  <si>
    <t>SF-PY1. Identidad con la Teleología Institucional.</t>
  </si>
  <si>
    <t>FORMACION</t>
  </si>
  <si>
    <t>RP+SALDO</t>
  </si>
  <si>
    <t>CD´P+SALDO</t>
  </si>
  <si>
    <t>ASIGNADO</t>
  </si>
  <si>
    <t>EXCED. FAC.</t>
  </si>
  <si>
    <t>CONV. ASOCOOPH</t>
  </si>
  <si>
    <t>RECURSOS DOCTORADOS</t>
  </si>
  <si>
    <t>FTO. BTAR.</t>
  </si>
  <si>
    <t xml:space="preserve">EXCEDENTES  USCO </t>
  </si>
  <si>
    <t>RECURSOS PROPIOS</t>
  </si>
  <si>
    <t>IVA</t>
  </si>
  <si>
    <t>CONVENIOS</t>
  </si>
  <si>
    <t>EST. LA PLATA</t>
  </si>
  <si>
    <t>EST. PITALITO</t>
  </si>
  <si>
    <t>EST. GARZÓN</t>
  </si>
  <si>
    <t>EST. NEIVA</t>
  </si>
  <si>
    <t>EST.DPTO. LA PLATA</t>
  </si>
  <si>
    <t>EST.DPTO. PITALITO</t>
  </si>
  <si>
    <t>EST.DPTO. GARZÓN</t>
  </si>
  <si>
    <t>EST.DPTO. NEIVA</t>
  </si>
  <si>
    <t>D. COMPLEMENTARIOS</t>
  </si>
  <si>
    <t>RENDIMIENTOS FINANCIEROS</t>
  </si>
  <si>
    <t>RECURSOS CRÉDITO</t>
  </si>
  <si>
    <t>R. NACIÓN PLAN DE FOMENTO</t>
  </si>
  <si>
    <t>R. CREE 2017</t>
  </si>
  <si>
    <t>R. NACIÓN</t>
  </si>
  <si>
    <t>ESTAMPILLA UNIVERSIDAD LEY 1697/13</t>
  </si>
  <si>
    <t>TOTAL</t>
  </si>
  <si>
    <t>%</t>
  </si>
  <si>
    <t>RECURSOS CREE 2017</t>
  </si>
  <si>
    <t>RECURSOS POR EJECUTAR</t>
  </si>
  <si>
    <t>RECURSOS EJECUTADOS</t>
  </si>
  <si>
    <t xml:space="preserve">RECURSOS EJECUTADOS </t>
  </si>
  <si>
    <t>RECURSOS ASIGNADOS</t>
  </si>
  <si>
    <t>RESPONSABLE</t>
  </si>
  <si>
    <t>RUBRO</t>
  </si>
  <si>
    <t>ACTIVIDADES</t>
  </si>
  <si>
    <t>SIGLA</t>
  </si>
  <si>
    <t>PROYECTO</t>
  </si>
  <si>
    <t>SUBSISTEMA</t>
  </si>
  <si>
    <t>SALDOS POR FUENTES DE FINANCIACIÓN</t>
  </si>
  <si>
    <t>CDP</t>
  </si>
  <si>
    <t>FUENTES DE FINANCIACION</t>
  </si>
  <si>
    <t>PLAN DE ACCION 2019</t>
  </si>
  <si>
    <t>EJECUCIÓN EN CDP</t>
  </si>
  <si>
    <t>$</t>
  </si>
  <si>
    <t>SALDOS POR EJECUTAR EN CDP</t>
  </si>
  <si>
    <t xml:space="preserve"> EJECUCIÓN  EN RP</t>
  </si>
  <si>
    <t>SALDOS POR EJECUTAR  R.P.</t>
  </si>
  <si>
    <t xml:space="preserve">  ASIGNADO</t>
  </si>
  <si>
    <t>EJECUTADO</t>
  </si>
  <si>
    <t>%  EJECUCIÓN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</si>
  <si>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</si>
  <si>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</si>
  <si>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</si>
  <si>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</si>
  <si>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</si>
  <si>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</si>
  <si>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</si>
  <si>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</si>
  <si>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</si>
  <si>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</si>
  <si>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>EXTENSIÓN</t>
  </si>
  <si>
    <t>DIFERENCIA</t>
  </si>
  <si>
    <t>MARZO</t>
  </si>
  <si>
    <t>MAYO</t>
  </si>
  <si>
    <t>TOTAL EJECUCIÓN ACUMULADA A OCTUBRE</t>
  </si>
  <si>
    <t xml:space="preserve"> EJECUCIÓN ACUMULADA A AGOSTO</t>
  </si>
  <si>
    <t>PROY. SOCIAL</t>
  </si>
  <si>
    <t>BIENESTAR</t>
  </si>
  <si>
    <t>EJECUCIÓN  TOTAL</t>
  </si>
  <si>
    <t>R. EJECUTADOS ACUMADOS A SEPTIEMBRE</t>
  </si>
  <si>
    <t>R. EJECUTADOS OCTUBRE</t>
  </si>
  <si>
    <t xml:space="preserve"> EJECUCIÓN ACUMULADA A OCTUBRE</t>
  </si>
  <si>
    <t>% DE EJECUCIÓN ACUMULADA A OCTUBRE</t>
  </si>
  <si>
    <t>COMPARATIVO DE EJECUCION  POR SUBSISTEMAS A OCTUBRE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</si>
</sst>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&quot;$&quot;\ * #,##0_-;\-&quot;$&quot;\ * #,##0_-;_-&quot;$&quot;\ * &quot;-&quot;_-;_-@_-"/>
    <numFmt numFmtId="165" formatCode="&quot;$&quot;\ #,##0"/>
    <numFmt numFmtId="166" formatCode="#,##0\ ;[Red]\-#,##0\ "/>
    <numFmt numFmtId="167" formatCode="_-* #,##0.00\ [$€]_-;\-* #,##0.00\ [$€]_-;_-* &quot;-&quot;??\ [$€]_-;_-@_-"/>
    <numFmt numFmtId="168" formatCode="#,##0_ ;[Red]\-#,##0\ "/>
    <numFmt numFmtId="169" formatCode="_ * #,##0.00_ ;_ * \-#,##0.00_ ;_ * &quot;-&quot;??_ ;_ @_ "/>
  </numFmts>
  <fonts count="3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Calibri"/>
      <family val="2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scheme val="min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0"/>
      <color indexed="8"/>
      <name val="Calibri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indexed="81"/>
      <name val="Tahoma"/>
      <charset val="1"/>
    </font>
    <font>
      <sz val="11"/>
      <color indexed="81"/>
      <name val="Tahoma"/>
      <charset val="1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4">
    <xf numFmtId="0" fontId="0" fillId="0" borderId="0"/>
    <xf numFmtId="0" fontId="28" fillId="2" borderId="0" applyNumberFormat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30" fillId="0" borderId="0"/>
  </cellStyleXfs>
  <cellXfs count="290">
    <xf numFmtId="0" fontId="0" fillId="0" borderId="0" xfId="0"/>
    <xf numFmtId="164" fontId="0" fillId="0" borderId="1" xfId="0" applyNumberFormat="1" applyBorder="1" applyAlignment="1">
      <alignment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4" fontId="0" fillId="0" borderId="1" xfId="0" applyNumberFormat="1" applyFont="1" applyBorder="1" applyAlignment="1">
      <alignment horizontal="center" vertical="center" wrapText="1"/>
    </xf>
    <xf numFmtId="3" fontId="0" fillId="0" borderId="0" xfId="0" applyNumberFormat="1"/>
    <xf numFmtId="165" fontId="0" fillId="0" borderId="0" xfId="0" applyNumberFormat="1"/>
    <xf numFmtId="0" fontId="1" fillId="0" borderId="1" xfId="0" applyFont="1" applyBorder="1" applyAlignment="1">
      <alignment horizontal="center" vertical="center" wrapText="1"/>
    </xf>
    <xf numFmtId="165" fontId="1" fillId="0" borderId="0" xfId="0" applyNumberFormat="1" applyFont="1"/>
    <xf numFmtId="3" fontId="4" fillId="0" borderId="4" xfId="0" applyNumberFormat="1" applyFont="1" applyBorder="1"/>
    <xf numFmtId="3" fontId="0" fillId="0" borderId="0" xfId="0" applyNumberFormat="1" applyAlignment="1">
      <alignment vertical="center"/>
    </xf>
    <xf numFmtId="10" fontId="5" fillId="0" borderId="4" xfId="0" applyNumberFormat="1" applyFont="1" applyBorder="1" applyAlignment="1">
      <alignment horizontal="center" vertical="center"/>
    </xf>
    <xf numFmtId="3" fontId="4" fillId="0" borderId="4" xfId="0" applyNumberFormat="1" applyFont="1" applyFill="1" applyBorder="1" applyAlignment="1">
      <alignment horizontal="right" vertical="center" wrapText="1"/>
    </xf>
    <xf numFmtId="10" fontId="6" fillId="3" borderId="4" xfId="0" applyNumberFormat="1" applyFont="1" applyFill="1" applyBorder="1" applyAlignment="1">
      <alignment horizontal="center" vertical="center"/>
    </xf>
    <xf numFmtId="3" fontId="4" fillId="0" borderId="5" xfId="0" applyNumberFormat="1" applyFont="1" applyBorder="1"/>
    <xf numFmtId="10" fontId="6" fillId="0" borderId="4" xfId="0" applyNumberFormat="1" applyFont="1" applyBorder="1" applyAlignment="1">
      <alignment horizontal="center" vertical="center"/>
    </xf>
    <xf numFmtId="10" fontId="0" fillId="3" borderId="4" xfId="0" applyNumberFormat="1" applyFill="1" applyBorder="1" applyAlignment="1">
      <alignment horizontal="center" vertical="center"/>
    </xf>
    <xf numFmtId="3" fontId="4" fillId="3" borderId="4" xfId="0" applyNumberFormat="1" applyFont="1" applyFill="1" applyBorder="1"/>
    <xf numFmtId="3" fontId="0" fillId="0" borderId="4" xfId="0" applyNumberFormat="1" applyBorder="1"/>
    <xf numFmtId="0" fontId="0" fillId="0" borderId="4" xfId="0" applyBorder="1"/>
    <xf numFmtId="166" fontId="7" fillId="0" borderId="1" xfId="0" applyNumberFormat="1" applyFont="1" applyBorder="1" applyAlignment="1">
      <alignment vertical="center" wrapText="1"/>
    </xf>
    <xf numFmtId="166" fontId="4" fillId="0" borderId="1" xfId="0" applyNumberFormat="1" applyFont="1" applyBorder="1" applyAlignment="1">
      <alignment vertical="center" wrapText="1"/>
    </xf>
    <xf numFmtId="3" fontId="4" fillId="0" borderId="1" xfId="0" applyNumberFormat="1" applyFont="1" applyFill="1" applyBorder="1" applyAlignment="1">
      <alignment horizontal="right" vertical="center" wrapText="1"/>
    </xf>
    <xf numFmtId="10" fontId="5" fillId="0" borderId="1" xfId="0" applyNumberFormat="1" applyFont="1" applyBorder="1" applyAlignment="1">
      <alignment horizontal="center" vertical="center"/>
    </xf>
    <xf numFmtId="3" fontId="4" fillId="0" borderId="3" xfId="0" applyNumberFormat="1" applyFont="1" applyBorder="1" applyAlignment="1">
      <alignment vertical="center" wrapText="1"/>
    </xf>
    <xf numFmtId="3" fontId="4" fillId="0" borderId="1" xfId="0" applyNumberFormat="1" applyFont="1" applyBorder="1" applyAlignment="1">
      <alignment vertical="center" wrapText="1"/>
    </xf>
    <xf numFmtId="10" fontId="6" fillId="3" borderId="1" xfId="0" applyNumberFormat="1" applyFont="1" applyFill="1" applyBorder="1" applyAlignment="1">
      <alignment horizontal="center" vertical="center"/>
    </xf>
    <xf numFmtId="166" fontId="4" fillId="0" borderId="3" xfId="0" applyNumberFormat="1" applyFont="1" applyBorder="1" applyAlignment="1">
      <alignment vertical="center" wrapText="1"/>
    </xf>
    <xf numFmtId="10" fontId="6" fillId="0" borderId="1" xfId="0" applyNumberFormat="1" applyFont="1" applyBorder="1" applyAlignment="1">
      <alignment horizontal="center" vertical="center"/>
    </xf>
    <xf numFmtId="10" fontId="0" fillId="3" borderId="1" xfId="0" applyNumberFormat="1" applyFill="1" applyBorder="1" applyAlignment="1">
      <alignment horizontal="center" vertical="center"/>
    </xf>
    <xf numFmtId="3" fontId="7" fillId="0" borderId="1" xfId="0" applyNumberFormat="1" applyFont="1" applyBorder="1" applyAlignment="1">
      <alignment vertical="center" wrapText="1"/>
    </xf>
    <xf numFmtId="3" fontId="7" fillId="0" borderId="3" xfId="0" applyNumberFormat="1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right" vertical="center" wrapText="1"/>
    </xf>
    <xf numFmtId="0" fontId="7" fillId="0" borderId="1" xfId="0" applyFont="1" applyBorder="1" applyAlignment="1">
      <alignment horizontal="right"/>
    </xf>
    <xf numFmtId="0" fontId="7" fillId="3" borderId="1" xfId="0" applyFont="1" applyFill="1" applyBorder="1" applyAlignment="1">
      <alignment horizontal="right" vertical="center" wrapText="1"/>
    </xf>
    <xf numFmtId="3" fontId="4" fillId="3" borderId="1" xfId="0" applyNumberFormat="1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right" wrapText="1"/>
    </xf>
    <xf numFmtId="0" fontId="0" fillId="0" borderId="1" xfId="0" applyBorder="1" applyAlignment="1">
      <alignment horizontal="center"/>
    </xf>
    <xf numFmtId="3" fontId="7" fillId="0" borderId="1" xfId="0" applyNumberFormat="1" applyFont="1" applyBorder="1" applyAlignment="1">
      <alignment horizontal="right" wrapText="1"/>
    </xf>
    <xf numFmtId="166" fontId="7" fillId="3" borderId="6" xfId="0" applyNumberFormat="1" applyFont="1" applyFill="1" applyBorder="1" applyAlignment="1">
      <alignment horizontal="right" vertical="center" wrapText="1"/>
    </xf>
    <xf numFmtId="0" fontId="0" fillId="0" borderId="6" xfId="0" applyFill="1" applyBorder="1"/>
    <xf numFmtId="0" fontId="0" fillId="0" borderId="1" xfId="0" applyFill="1" applyBorder="1"/>
    <xf numFmtId="3" fontId="7" fillId="3" borderId="6" xfId="0" applyNumberFormat="1" applyFont="1" applyFill="1" applyBorder="1" applyAlignment="1">
      <alignment horizontal="right" vertical="center" wrapText="1"/>
    </xf>
    <xf numFmtId="0" fontId="6" fillId="0" borderId="6" xfId="0" applyFont="1" applyFill="1" applyBorder="1"/>
    <xf numFmtId="0" fontId="6" fillId="0" borderId="3" xfId="0" applyFont="1" applyFill="1" applyBorder="1"/>
    <xf numFmtId="3" fontId="6" fillId="0" borderId="6" xfId="0" applyNumberFormat="1" applyFont="1" applyFill="1" applyBorder="1"/>
    <xf numFmtId="3" fontId="6" fillId="0" borderId="1" xfId="0" applyNumberFormat="1" applyFont="1" applyFill="1" applyBorder="1"/>
    <xf numFmtId="0" fontId="0" fillId="3" borderId="6" xfId="0" applyFill="1" applyBorder="1"/>
    <xf numFmtId="0" fontId="7" fillId="3" borderId="6" xfId="0" applyFont="1" applyFill="1" applyBorder="1" applyAlignment="1">
      <alignment vertical="center" wrapText="1"/>
    </xf>
    <xf numFmtId="3" fontId="4" fillId="0" borderId="7" xfId="0" applyNumberFormat="1" applyFont="1" applyFill="1" applyBorder="1" applyAlignment="1">
      <alignment horizontal="right" vertical="center" wrapText="1"/>
    </xf>
    <xf numFmtId="3" fontId="4" fillId="3" borderId="7" xfId="0" applyNumberFormat="1" applyFont="1" applyFill="1" applyBorder="1" applyAlignment="1">
      <alignment horizontal="right" vertical="center" wrapText="1"/>
    </xf>
    <xf numFmtId="10" fontId="0" fillId="0" borderId="1" xfId="0" applyNumberFormat="1" applyBorder="1" applyAlignment="1">
      <alignment horizontal="center" vertical="center"/>
    </xf>
    <xf numFmtId="3" fontId="0" fillId="0" borderId="7" xfId="0" applyNumberFormat="1" applyBorder="1" applyAlignment="1">
      <alignment horizontal="right" vertical="center"/>
    </xf>
    <xf numFmtId="10" fontId="0" fillId="0" borderId="7" xfId="0" applyNumberFormat="1" applyBorder="1" applyAlignment="1">
      <alignment horizontal="center" vertical="center"/>
    </xf>
    <xf numFmtId="3" fontId="4" fillId="0" borderId="8" xfId="0" applyNumberFormat="1" applyFont="1" applyFill="1" applyBorder="1" applyAlignment="1">
      <alignment horizontal="right" vertical="center" wrapText="1"/>
    </xf>
    <xf numFmtId="3" fontId="4" fillId="3" borderId="9" xfId="0" applyNumberFormat="1" applyFont="1" applyFill="1" applyBorder="1" applyAlignment="1">
      <alignment horizontal="right" vertical="center" wrapText="1"/>
    </xf>
    <xf numFmtId="3" fontId="8" fillId="3" borderId="9" xfId="0" applyNumberFormat="1" applyFont="1" applyFill="1" applyBorder="1" applyAlignment="1">
      <alignment horizontal="right" vertical="center" wrapText="1"/>
    </xf>
    <xf numFmtId="3" fontId="8" fillId="3" borderId="7" xfId="0" applyNumberFormat="1" applyFont="1" applyFill="1" applyBorder="1" applyAlignment="1">
      <alignment horizontal="right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0" fillId="3" borderId="0" xfId="0" applyFill="1"/>
    <xf numFmtId="3" fontId="0" fillId="3" borderId="0" xfId="0" applyNumberFormat="1" applyFill="1"/>
    <xf numFmtId="3" fontId="9" fillId="4" borderId="4" xfId="0" applyNumberFormat="1" applyFont="1" applyFill="1" applyBorder="1" applyAlignment="1">
      <alignment horizontal="right" vertical="center" wrapText="1"/>
    </xf>
    <xf numFmtId="10" fontId="5" fillId="4" borderId="4" xfId="0" applyNumberFormat="1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0" fillId="4" borderId="4" xfId="0" applyFill="1" applyBorder="1"/>
    <xf numFmtId="3" fontId="11" fillId="3" borderId="1" xfId="0" applyNumberFormat="1" applyFont="1" applyFill="1" applyBorder="1" applyAlignment="1">
      <alignment horizontal="right" vertical="center" wrapText="1"/>
    </xf>
    <xf numFmtId="3" fontId="12" fillId="0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3" xfId="0" applyFont="1" applyFill="1" applyBorder="1" applyAlignment="1">
      <alignment horizontal="center" vertical="top" wrapText="1"/>
    </xf>
    <xf numFmtId="0" fontId="0" fillId="0" borderId="13" xfId="0" applyBorder="1" applyAlignment="1">
      <alignment horizontal="center" vertical="center" textRotation="255"/>
    </xf>
    <xf numFmtId="0" fontId="6" fillId="0" borderId="13" xfId="0" applyFont="1" applyFill="1" applyBorder="1" applyAlignment="1">
      <alignment horizontal="center" vertical="top" wrapText="1"/>
    </xf>
    <xf numFmtId="3" fontId="11" fillId="0" borderId="1" xfId="0" applyNumberFormat="1" applyFont="1" applyFill="1" applyBorder="1" applyAlignment="1">
      <alignment horizontal="right" vertical="center" wrapText="1"/>
    </xf>
    <xf numFmtId="0" fontId="0" fillId="0" borderId="0" xfId="0" applyFill="1"/>
    <xf numFmtId="10" fontId="5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3" fontId="11" fillId="5" borderId="1" xfId="0" applyNumberFormat="1" applyFont="1" applyFill="1" applyBorder="1" applyAlignment="1">
      <alignment horizontal="right" vertical="center" wrapText="1"/>
    </xf>
    <xf numFmtId="0" fontId="6" fillId="0" borderId="12" xfId="0" applyFont="1" applyFill="1" applyBorder="1" applyAlignment="1">
      <alignment vertical="center" wrapText="1"/>
    </xf>
    <xf numFmtId="3" fontId="0" fillId="0" borderId="0" xfId="0" applyNumberFormat="1" applyFill="1"/>
    <xf numFmtId="0" fontId="6" fillId="0" borderId="14" xfId="0" applyFont="1" applyFill="1" applyBorder="1" applyAlignment="1">
      <alignment horizontal="left" vertical="center" wrapText="1"/>
    </xf>
    <xf numFmtId="10" fontId="13" fillId="4" borderId="4" xfId="0" applyNumberFormat="1" applyFont="1" applyFill="1" applyBorder="1" applyAlignment="1">
      <alignment horizontal="center" vertical="center"/>
    </xf>
    <xf numFmtId="0" fontId="0" fillId="4" borderId="1" xfId="0" applyFill="1" applyBorder="1"/>
    <xf numFmtId="3" fontId="11" fillId="3" borderId="12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vertical="center" wrapText="1"/>
    </xf>
    <xf numFmtId="0" fontId="0" fillId="3" borderId="1" xfId="0" applyFill="1" applyBorder="1" applyAlignment="1">
      <alignment horizontal="center" vertical="center" textRotation="255"/>
    </xf>
    <xf numFmtId="0" fontId="6" fillId="0" borderId="18" xfId="0" applyFont="1" applyFill="1" applyBorder="1" applyAlignment="1">
      <alignment horizontal="left" vertical="top" wrapText="1"/>
    </xf>
    <xf numFmtId="0" fontId="6" fillId="0" borderId="12" xfId="0" applyFont="1" applyFill="1" applyBorder="1" applyAlignment="1">
      <alignment horizontal="left" vertical="top" wrapText="1"/>
    </xf>
    <xf numFmtId="0" fontId="0" fillId="3" borderId="1" xfId="0" applyFill="1" applyBorder="1" applyAlignment="1">
      <alignment horizontal="center" vertical="center" textRotation="255"/>
    </xf>
    <xf numFmtId="0" fontId="6" fillId="0" borderId="13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top" wrapText="1"/>
    </xf>
    <xf numFmtId="3" fontId="14" fillId="3" borderId="1" xfId="0" applyNumberFormat="1" applyFont="1" applyFill="1" applyBorder="1" applyAlignment="1">
      <alignment horizontal="right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left" vertical="top" wrapText="1"/>
    </xf>
    <xf numFmtId="0" fontId="6" fillId="0" borderId="13" xfId="0" applyFont="1" applyFill="1" applyBorder="1" applyAlignment="1">
      <alignment horizontal="left" vertical="top" wrapText="1"/>
    </xf>
    <xf numFmtId="3" fontId="11" fillId="3" borderId="7" xfId="0" applyNumberFormat="1" applyFont="1" applyFill="1" applyBorder="1" applyAlignment="1">
      <alignment horizontal="right" vertical="center" wrapText="1"/>
    </xf>
    <xf numFmtId="3" fontId="11" fillId="4" borderId="4" xfId="0" applyNumberFormat="1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7" xfId="0" applyFont="1" applyFill="1" applyBorder="1" applyAlignment="1">
      <alignment vertical="center" wrapText="1"/>
    </xf>
    <xf numFmtId="3" fontId="12" fillId="0" borderId="12" xfId="0" applyNumberFormat="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textRotation="255" wrapText="1"/>
    </xf>
    <xf numFmtId="0" fontId="6" fillId="0" borderId="1" xfId="0" applyFont="1" applyFill="1" applyBorder="1" applyAlignment="1">
      <alignment vertical="top" wrapText="1"/>
    </xf>
    <xf numFmtId="0" fontId="6" fillId="0" borderId="7" xfId="0" applyFont="1" applyFill="1" applyBorder="1" applyAlignment="1">
      <alignment horizontal="left" vertical="top" wrapText="1"/>
    </xf>
    <xf numFmtId="10" fontId="5" fillId="0" borderId="7" xfId="0" applyNumberFormat="1" applyFont="1" applyBorder="1" applyAlignment="1">
      <alignment horizontal="center" vertical="center"/>
    </xf>
    <xf numFmtId="3" fontId="12" fillId="0" borderId="7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10" fontId="5" fillId="4" borderId="1" xfId="0" applyNumberFormat="1" applyFont="1" applyFill="1" applyBorder="1" applyAlignment="1">
      <alignment horizontal="center" vertical="center"/>
    </xf>
    <xf numFmtId="3" fontId="12" fillId="4" borderId="4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/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left" vertical="center" wrapText="1"/>
    </xf>
    <xf numFmtId="10" fontId="5" fillId="3" borderId="1" xfId="0" applyNumberFormat="1" applyFont="1" applyFill="1" applyBorder="1" applyAlignment="1">
      <alignment horizontal="center" vertical="center"/>
    </xf>
    <xf numFmtId="3" fontId="12" fillId="3" borderId="1" xfId="0" applyNumberFormat="1" applyFont="1" applyFill="1" applyBorder="1" applyAlignment="1">
      <alignment horizontal="center" vertical="center" wrapText="1"/>
    </xf>
    <xf numFmtId="0" fontId="0" fillId="0" borderId="13" xfId="0" applyBorder="1" applyAlignment="1">
      <alignment vertical="center" textRotation="255"/>
    </xf>
    <xf numFmtId="0" fontId="0" fillId="0" borderId="12" xfId="0" applyBorder="1" applyAlignment="1">
      <alignment vertical="center" textRotation="255"/>
    </xf>
    <xf numFmtId="3" fontId="6" fillId="4" borderId="4" xfId="0" applyNumberFormat="1" applyFont="1" applyFill="1" applyBorder="1" applyAlignment="1">
      <alignment vertical="center" wrapText="1"/>
    </xf>
    <xf numFmtId="3" fontId="9" fillId="4" borderId="12" xfId="0" applyNumberFormat="1" applyFont="1" applyFill="1" applyBorder="1" applyAlignment="1">
      <alignment vertical="center" wrapText="1"/>
    </xf>
    <xf numFmtId="3" fontId="12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textRotation="255"/>
    </xf>
    <xf numFmtId="0" fontId="0" fillId="0" borderId="7" xfId="0" applyBorder="1" applyAlignment="1">
      <alignment vertical="center" textRotation="255"/>
    </xf>
    <xf numFmtId="3" fontId="12" fillId="0" borderId="1" xfId="0" applyNumberFormat="1" applyFont="1" applyFill="1" applyBorder="1" applyAlignment="1">
      <alignment horizontal="center" wrapText="1"/>
    </xf>
    <xf numFmtId="3" fontId="4" fillId="0" borderId="2" xfId="0" applyNumberFormat="1" applyFont="1" applyFill="1" applyBorder="1" applyAlignment="1">
      <alignment horizontal="right" vertical="center" wrapText="1"/>
    </xf>
    <xf numFmtId="3" fontId="11" fillId="3" borderId="2" xfId="0" applyNumberFormat="1" applyFont="1" applyFill="1" applyBorder="1" applyAlignment="1">
      <alignment horizontal="right" vertical="center" wrapText="1"/>
    </xf>
    <xf numFmtId="0" fontId="18" fillId="0" borderId="0" xfId="0" applyFont="1"/>
    <xf numFmtId="0" fontId="18" fillId="6" borderId="1" xfId="0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0" fillId="5" borderId="6" xfId="0" applyFill="1" applyBorder="1" applyAlignment="1">
      <alignment vertical="center" wrapText="1"/>
    </xf>
    <xf numFmtId="0" fontId="0" fillId="5" borderId="3" xfId="0" applyFill="1" applyBorder="1" applyAlignment="1">
      <alignment horizontal="center" vertical="center" wrapText="1"/>
    </xf>
    <xf numFmtId="0" fontId="20" fillId="5" borderId="1" xfId="0" applyFont="1" applyFill="1" applyBorder="1" applyAlignment="1">
      <alignment vertical="center" wrapText="1"/>
    </xf>
    <xf numFmtId="0" fontId="20" fillId="5" borderId="16" xfId="0" applyFont="1" applyFill="1" applyBorder="1" applyAlignment="1">
      <alignment vertical="center" wrapText="1"/>
    </xf>
    <xf numFmtId="0" fontId="0" fillId="6" borderId="1" xfId="0" applyFill="1" applyBorder="1" applyAlignment="1">
      <alignment vertical="center" wrapText="1"/>
    </xf>
    <xf numFmtId="0" fontId="0" fillId="6" borderId="1" xfId="0" applyFill="1" applyBorder="1" applyAlignment="1">
      <alignment wrapText="1"/>
    </xf>
    <xf numFmtId="0" fontId="0" fillId="7" borderId="1" xfId="0" applyFill="1" applyBorder="1" applyAlignment="1">
      <alignment horizontal="center" vertical="center" wrapText="1"/>
    </xf>
    <xf numFmtId="0" fontId="20" fillId="3" borderId="18" xfId="0" applyFont="1" applyFill="1" applyBorder="1" applyAlignment="1">
      <alignment wrapText="1"/>
    </xf>
    <xf numFmtId="0" fontId="0" fillId="3" borderId="20" xfId="0" applyFill="1" applyBorder="1" applyAlignment="1">
      <alignment wrapText="1"/>
    </xf>
    <xf numFmtId="0" fontId="20" fillId="3" borderId="18" xfId="0" applyFont="1" applyFill="1" applyBorder="1" applyAlignment="1">
      <alignment vertical="center" wrapText="1"/>
    </xf>
    <xf numFmtId="0" fontId="20" fillId="5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/>
    </xf>
    <xf numFmtId="0" fontId="31" fillId="3" borderId="0" xfId="0" applyFont="1" applyFill="1" applyBorder="1" applyAlignment="1">
      <alignment horizontal="center" vertical="center"/>
    </xf>
    <xf numFmtId="0" fontId="31" fillId="3" borderId="0" xfId="0" applyFont="1" applyFill="1" applyBorder="1" applyAlignment="1">
      <alignment horizontal="center" vertical="center" wrapText="1"/>
    </xf>
    <xf numFmtId="0" fontId="32" fillId="3" borderId="0" xfId="0" applyFont="1" applyFill="1" applyBorder="1"/>
    <xf numFmtId="0" fontId="1" fillId="0" borderId="0" xfId="0" applyFont="1"/>
    <xf numFmtId="0" fontId="1" fillId="0" borderId="0" xfId="0" applyFont="1" applyFill="1"/>
    <xf numFmtId="0" fontId="3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3" fontId="9" fillId="3" borderId="0" xfId="0" applyNumberFormat="1" applyFont="1" applyFill="1" applyBorder="1" applyAlignment="1">
      <alignment vertical="center" wrapText="1"/>
    </xf>
    <xf numFmtId="0" fontId="0" fillId="0" borderId="0" xfId="0" applyBorder="1"/>
    <xf numFmtId="10" fontId="1" fillId="3" borderId="0" xfId="0" applyNumberFormat="1" applyFont="1" applyFill="1" applyAlignment="1">
      <alignment horizontal="center"/>
    </xf>
    <xf numFmtId="10" fontId="1" fillId="0" borderId="0" xfId="0" applyNumberFormat="1" applyFont="1" applyAlignment="1">
      <alignment horizontal="center"/>
    </xf>
    <xf numFmtId="3" fontId="11" fillId="3" borderId="0" xfId="0" applyNumberFormat="1" applyFont="1" applyFill="1" applyBorder="1" applyAlignment="1">
      <alignment vertical="center" wrapText="1"/>
    </xf>
    <xf numFmtId="10" fontId="0" fillId="3" borderId="0" xfId="0" applyNumberFormat="1" applyFont="1" applyFill="1" applyAlignment="1">
      <alignment horizontal="center"/>
    </xf>
    <xf numFmtId="3" fontId="33" fillId="3" borderId="0" xfId="0" applyNumberFormat="1" applyFont="1" applyFill="1" applyBorder="1" applyAlignment="1">
      <alignment vertical="center" wrapText="1"/>
    </xf>
    <xf numFmtId="10" fontId="18" fillId="3" borderId="0" xfId="0" applyNumberFormat="1" applyFont="1" applyFill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0" fillId="3" borderId="1" xfId="0" applyFill="1" applyBorder="1" applyAlignment="1">
      <alignment vertical="center"/>
    </xf>
    <xf numFmtId="165" fontId="4" fillId="3" borderId="1" xfId="0" applyNumberFormat="1" applyFont="1" applyFill="1" applyBorder="1" applyAlignment="1">
      <alignment horizontal="right" vertical="center"/>
    </xf>
    <xf numFmtId="165" fontId="6" fillId="3" borderId="1" xfId="0" applyNumberFormat="1" applyFont="1" applyFill="1" applyBorder="1" applyAlignment="1">
      <alignment horizontal="right" vertical="center"/>
    </xf>
    <xf numFmtId="10" fontId="0" fillId="3" borderId="1" xfId="0" applyNumberFormat="1" applyFill="1" applyBorder="1" applyAlignment="1">
      <alignment vertic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165" fontId="0" fillId="3" borderId="1" xfId="0" applyNumberFormat="1" applyFill="1" applyBorder="1" applyAlignment="1">
      <alignment horizontal="center"/>
    </xf>
    <xf numFmtId="165" fontId="7" fillId="0" borderId="1" xfId="0" applyNumberFormat="1" applyFont="1" applyBorder="1" applyAlignment="1">
      <alignment horizontal="right"/>
    </xf>
    <xf numFmtId="0" fontId="1" fillId="3" borderId="4" xfId="0" applyFont="1" applyFill="1" applyBorder="1" applyAlignment="1">
      <alignment horizontal="center" vertical="center"/>
    </xf>
    <xf numFmtId="165" fontId="4" fillId="3" borderId="4" xfId="0" applyNumberFormat="1" applyFont="1" applyFill="1" applyBorder="1" applyAlignment="1">
      <alignment horizontal="right" vertical="center"/>
    </xf>
    <xf numFmtId="10" fontId="0" fillId="0" borderId="4" xfId="0" applyNumberFormat="1" applyBorder="1" applyAlignment="1">
      <alignment horizontal="center" vertical="center"/>
    </xf>
    <xf numFmtId="3" fontId="32" fillId="4" borderId="4" xfId="0" applyNumberFormat="1" applyFont="1" applyFill="1" applyBorder="1" applyAlignment="1">
      <alignment vertical="center" wrapText="1"/>
    </xf>
    <xf numFmtId="0" fontId="6" fillId="0" borderId="12" xfId="0" applyFont="1" applyFill="1" applyBorder="1" applyAlignment="1">
      <alignment horizontal="center" vertical="top" wrapText="1"/>
    </xf>
    <xf numFmtId="0" fontId="6" fillId="0" borderId="13" xfId="0" applyFont="1" applyFill="1" applyBorder="1" applyAlignment="1">
      <alignment horizontal="center" vertical="top" wrapText="1"/>
    </xf>
    <xf numFmtId="0" fontId="6" fillId="0" borderId="7" xfId="0" applyFont="1" applyFill="1" applyBorder="1" applyAlignment="1">
      <alignment horizontal="center" vertical="top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6" fillId="0" borderId="1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left" vertical="top" wrapText="1"/>
    </xf>
    <xf numFmtId="0" fontId="6" fillId="0" borderId="7" xfId="0" applyFont="1" applyFill="1" applyBorder="1" applyAlignment="1">
      <alignment horizontal="left" vertical="top" wrapText="1"/>
    </xf>
    <xf numFmtId="0" fontId="10" fillId="4" borderId="11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13" xfId="0" applyBorder="1" applyAlignment="1">
      <alignment horizontal="center" vertical="center" textRotation="255" wrapText="1"/>
    </xf>
    <xf numFmtId="0" fontId="6" fillId="0" borderId="12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10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textRotation="255"/>
    </xf>
    <xf numFmtId="0" fontId="6" fillId="0" borderId="13" xfId="0" applyFont="1" applyFill="1" applyBorder="1" applyAlignment="1">
      <alignment horizontal="left" vertical="top" wrapText="1"/>
    </xf>
    <xf numFmtId="0" fontId="6" fillId="0" borderId="18" xfId="0" applyFont="1" applyFill="1" applyBorder="1" applyAlignment="1">
      <alignment horizontal="left" vertical="center" wrapText="1"/>
    </xf>
    <xf numFmtId="0" fontId="6" fillId="0" borderId="17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horizontal="left"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/>
    </xf>
    <xf numFmtId="0" fontId="6" fillId="0" borderId="14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6" fillId="4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top" wrapText="1"/>
    </xf>
    <xf numFmtId="0" fontId="0" fillId="0" borderId="13" xfId="0" applyFont="1" applyBorder="1" applyAlignment="1">
      <alignment horizontal="left" vertical="top" wrapText="1"/>
    </xf>
    <xf numFmtId="0" fontId="0" fillId="0" borderId="7" xfId="0" applyFont="1" applyBorder="1" applyAlignment="1">
      <alignment horizontal="left" vertical="top" wrapText="1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left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center" vertical="top" wrapText="1"/>
    </xf>
    <xf numFmtId="0" fontId="0" fillId="0" borderId="13" xfId="0" applyFont="1" applyBorder="1" applyAlignment="1">
      <alignment horizontal="center" vertical="top" wrapText="1"/>
    </xf>
    <xf numFmtId="0" fontId="0" fillId="0" borderId="7" xfId="0" applyFont="1" applyBorder="1" applyAlignment="1">
      <alignment horizontal="center" vertical="top" wrapText="1"/>
    </xf>
    <xf numFmtId="0" fontId="0" fillId="5" borderId="3" xfId="0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21" fillId="0" borderId="16" xfId="0" applyFont="1" applyBorder="1" applyAlignment="1">
      <alignment horizontal="center"/>
    </xf>
    <xf numFmtId="0" fontId="21" fillId="0" borderId="9" xfId="0" applyFont="1" applyBorder="1" applyAlignment="1">
      <alignment horizontal="center"/>
    </xf>
    <xf numFmtId="0" fontId="21" fillId="0" borderId="3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3" fontId="21" fillId="0" borderId="16" xfId="0" applyNumberFormat="1" applyFont="1" applyBorder="1" applyAlignment="1">
      <alignment horizontal="center"/>
    </xf>
    <xf numFmtId="3" fontId="21" fillId="0" borderId="9" xfId="0" applyNumberFormat="1" applyFont="1" applyBorder="1" applyAlignment="1">
      <alignment horizontal="center"/>
    </xf>
    <xf numFmtId="3" fontId="21" fillId="0" borderId="19" xfId="0" applyNumberFormat="1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3" fillId="3" borderId="16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left" vertical="center" wrapText="1"/>
    </xf>
    <xf numFmtId="0" fontId="15" fillId="4" borderId="10" xfId="0" applyFont="1" applyFill="1" applyBorder="1" applyAlignment="1">
      <alignment horizontal="left" vertical="center" wrapText="1"/>
    </xf>
    <xf numFmtId="0" fontId="15" fillId="4" borderId="5" xfId="0" applyFont="1" applyFill="1" applyBorder="1" applyAlignment="1">
      <alignment horizontal="left" vertical="center" wrapText="1"/>
    </xf>
    <xf numFmtId="0" fontId="3" fillId="7" borderId="12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left" vertical="center" wrapText="1"/>
    </xf>
    <xf numFmtId="0" fontId="16" fillId="4" borderId="10" xfId="0" applyFont="1" applyFill="1" applyBorder="1" applyAlignment="1">
      <alignment horizontal="left" vertical="center" wrapText="1"/>
    </xf>
    <xf numFmtId="0" fontId="16" fillId="4" borderId="5" xfId="0" applyFont="1" applyFill="1" applyBorder="1" applyAlignment="1">
      <alignment horizontal="left" vertical="center" wrapText="1"/>
    </xf>
    <xf numFmtId="0" fontId="16" fillId="4" borderId="3" xfId="0" applyFont="1" applyFill="1" applyBorder="1" applyAlignment="1">
      <alignment horizontal="left" vertical="center" wrapText="1"/>
    </xf>
    <xf numFmtId="0" fontId="16" fillId="4" borderId="6" xfId="0" applyFont="1" applyFill="1" applyBorder="1" applyAlignment="1">
      <alignment horizontal="left" vertical="center" wrapText="1"/>
    </xf>
    <xf numFmtId="0" fontId="16" fillId="4" borderId="2" xfId="0" applyFont="1" applyFill="1" applyBorder="1" applyAlignment="1">
      <alignment horizontal="left" vertical="center" wrapText="1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 b="1" i="0" baseline="0">
                <a:effectLst/>
              </a:rPr>
              <a:t>EJECUCIÓN PLAN DE ACCIÓN POR SUBSISTEMAS A 31 DE OCTUBRE DE 2019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9832301826469223"/>
          <c:y val="4.1746949261400129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CONSOLIDADO '!$EC$4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194787379972565E-2"/>
                  <c:y val="-1.9267822736030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292181069958848E-2"/>
                  <c:y val="-9.63391136801541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1947871800998969E-2"/>
                  <c:y val="-2.6964690535927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3717421124828532E-2"/>
                  <c:y val="-1.60565189466923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6063100137174212E-2"/>
                  <c:y val="-2.5690430314707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900" baseline="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 '!$EB$5:$EB$143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'!$EC$5:$EC$143</c:f>
              <c:numCache>
                <c:formatCode>#,##0</c:formatCode>
                <c:ptCount val="5"/>
                <c:pt idx="0">
                  <c:v>4377995649</c:v>
                </c:pt>
                <c:pt idx="1">
                  <c:v>9091266497</c:v>
                </c:pt>
                <c:pt idx="2">
                  <c:v>4542835904</c:v>
                </c:pt>
                <c:pt idx="3">
                  <c:v>3687641610</c:v>
                </c:pt>
                <c:pt idx="4">
                  <c:v>20745884228</c:v>
                </c:pt>
              </c:numCache>
            </c:numRef>
          </c:val>
        </c:ser>
        <c:ser>
          <c:idx val="1"/>
          <c:order val="1"/>
          <c:tx>
            <c:strRef>
              <c:f>'P. ACCIÓN CONSOLIDADO '!$ED$4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1550068587105622E-2"/>
                  <c:y val="-3.211303789338471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7434842249657063E-2"/>
                  <c:y val="-9.63391136801541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5665294924554183E-2"/>
                  <c:y val="-9.63391136801541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429355281207133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7037037037037139E-2"/>
                  <c:y val="-1.60565189466923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900" baseline="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 '!$EB$5:$EB$143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'!$ED$5:$ED$143</c:f>
              <c:numCache>
                <c:formatCode>#,##0</c:formatCode>
                <c:ptCount val="5"/>
                <c:pt idx="0">
                  <c:v>2547014712</c:v>
                </c:pt>
                <c:pt idx="1">
                  <c:v>3855588245</c:v>
                </c:pt>
                <c:pt idx="2">
                  <c:v>2828031894</c:v>
                </c:pt>
                <c:pt idx="3">
                  <c:v>2879361152</c:v>
                </c:pt>
                <c:pt idx="4">
                  <c:v>5991509682</c:v>
                </c:pt>
              </c:numCache>
            </c:numRef>
          </c:val>
        </c:ser>
        <c:ser>
          <c:idx val="2"/>
          <c:order val="2"/>
          <c:tx>
            <c:strRef>
              <c:f>'P. ACCIÓN CONSOLIDADO '!$EE$4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4691358024691384E-2"/>
                  <c:y val="-1.28452151573538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7832647462277092E-2"/>
                  <c:y val="-3.211303789338471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3717421124828532E-2"/>
                  <c:y val="-9.63391136801541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9204389574759947E-2"/>
                  <c:y val="-9.63391136801541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646090534979424E-2"/>
                  <c:y val="-1.9267822736030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900" baseline="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 '!$EB$5:$EB$143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'!$EE$5:$EE$143</c:f>
              <c:numCache>
                <c:formatCode>0.00%</c:formatCode>
                <c:ptCount val="5"/>
                <c:pt idx="0">
                  <c:v>0.58177643748498842</c:v>
                </c:pt>
                <c:pt idx="1">
                  <c:v>0.42409803367575838</c:v>
                </c:pt>
                <c:pt idx="2">
                  <c:v>0.62252565440673246</c:v>
                </c:pt>
                <c:pt idx="3">
                  <c:v>0.78081371687309931</c:v>
                </c:pt>
                <c:pt idx="4">
                  <c:v>0.2888047391064425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96798976"/>
        <c:axId val="96833536"/>
        <c:axId val="0"/>
      </c:bar3DChart>
      <c:catAx>
        <c:axId val="96798976"/>
        <c:scaling>
          <c:orientation val="minMax"/>
        </c:scaling>
        <c:delete val="0"/>
        <c:axPos val="b"/>
        <c:majorTickMark val="none"/>
        <c:minorTickMark val="none"/>
        <c:tickLblPos val="nextTo"/>
        <c:crossAx val="96833536"/>
        <c:crosses val="autoZero"/>
        <c:auto val="1"/>
        <c:lblAlgn val="ctr"/>
        <c:lblOffset val="100"/>
        <c:noMultiLvlLbl val="0"/>
      </c:catAx>
      <c:valAx>
        <c:axId val="96833536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96798976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459843599796939"/>
          <c:y val="0.1319524727039178"/>
          <c:w val="0.30803117202942226"/>
          <c:h val="4.843581691016946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200" b="1" i="0" baseline="0">
                <a:effectLst/>
              </a:rPr>
              <a:t>EJECUCIÓN PLAN DE ACCIÓN POR RUBROS PRESUPUESTALES A 31 DE OCTUBRE DE 2019</a:t>
            </a:r>
            <a:endParaRPr lang="es-CO" sz="1200">
              <a:effectLst/>
            </a:endParaRP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CONSOLIDADO '!$EC$147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8100807574491784E-2"/>
                  <c:y val="-3.84024577572964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506265664160400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6201615148983568E-2"/>
                  <c:y val="-1.5360983102918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5316067947646946E-2"/>
                  <c:y val="-1.53609831029185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227791701475911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2024505708716233E-2"/>
                  <c:y val="3.84024577572964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6708437761069238E-2"/>
                  <c:y val="-1.15207373271889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900" baseline="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 '!$EB$148:$EB$154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'!$EC$148:$EC$154</c:f>
              <c:numCache>
                <c:formatCode>#,##0</c:formatCode>
                <c:ptCount val="7"/>
                <c:pt idx="0">
                  <c:v>13043802420</c:v>
                </c:pt>
                <c:pt idx="1">
                  <c:v>8014789419</c:v>
                </c:pt>
                <c:pt idx="2">
                  <c:v>3687641610</c:v>
                </c:pt>
                <c:pt idx="3">
                  <c:v>1076000000</c:v>
                </c:pt>
                <c:pt idx="4">
                  <c:v>9091266497</c:v>
                </c:pt>
                <c:pt idx="5">
                  <c:v>2989288038</c:v>
                </c:pt>
                <c:pt idx="6">
                  <c:v>4542835904</c:v>
                </c:pt>
              </c:numCache>
            </c:numRef>
          </c:val>
        </c:ser>
        <c:ser>
          <c:idx val="1"/>
          <c:order val="1"/>
          <c:tx>
            <c:strRef>
              <c:f>'P. ACCIÓN CONSOLIDADO '!$ED$147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809245335561123E-2"/>
                  <c:y val="-1.15207373271889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6201615148983568E-2"/>
                  <c:y val="-1.53609831029185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177109440267340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9239766081871343E-2"/>
                  <c:y val="-3.84024577572964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7593984962406013E-2"/>
                  <c:y val="-3.84024577572964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4809245335561123E-2"/>
                  <c:y val="3.84024577572964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6201615148983568E-2"/>
                  <c:y val="-3.84024577572964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900" baseline="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 '!$EB$148:$EB$154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'!$ED$148:$ED$154</c:f>
              <c:numCache>
                <c:formatCode>#,##0</c:formatCode>
                <c:ptCount val="7"/>
                <c:pt idx="0">
                  <c:v>1864751067</c:v>
                </c:pt>
                <c:pt idx="1">
                  <c:v>4091881515</c:v>
                </c:pt>
                <c:pt idx="2">
                  <c:v>2879361152</c:v>
                </c:pt>
                <c:pt idx="3">
                  <c:v>561596720</c:v>
                </c:pt>
                <c:pt idx="4">
                  <c:v>3855588245</c:v>
                </c:pt>
                <c:pt idx="5">
                  <c:v>2020295092</c:v>
                </c:pt>
                <c:pt idx="6">
                  <c:v>2828031894</c:v>
                </c:pt>
              </c:numCache>
            </c:numRef>
          </c:val>
        </c:ser>
        <c:ser>
          <c:idx val="2"/>
          <c:order val="2"/>
          <c:tx>
            <c:strRef>
              <c:f>'P. ACCIÓN CONSOLIDADO '!$EE$147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3923698134224449E-2"/>
                  <c:y val="-3.84024577572964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253132832080200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3923698134224449E-2"/>
                  <c:y val="3.84024577572964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3670286828181564E-2"/>
                  <c:y val="1.15207373271889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0885547201336674E-2"/>
                  <c:y val="3.84024577572964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8100807574491888E-2"/>
                  <c:y val="7.680491551459293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2531328320802004E-2"/>
                  <c:y val="3.84024577572964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900" baseline="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 '!$EB$148:$EB$154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'!$EE$148:$EE$154</c:f>
              <c:numCache>
                <c:formatCode>0.00%</c:formatCode>
                <c:ptCount val="7"/>
                <c:pt idx="0">
                  <c:v>0.14296069558220126</c:v>
                </c:pt>
                <c:pt idx="1">
                  <c:v>0.51054136310802056</c:v>
                </c:pt>
                <c:pt idx="2">
                  <c:v>0.78081371687309931</c:v>
                </c:pt>
                <c:pt idx="3">
                  <c:v>0.5219300371747212</c:v>
                </c:pt>
                <c:pt idx="4">
                  <c:v>0.42409803367575838</c:v>
                </c:pt>
                <c:pt idx="5">
                  <c:v>0.67584490564906885</c:v>
                </c:pt>
                <c:pt idx="6">
                  <c:v>0.62252565440673246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96685056"/>
        <c:axId val="96719616"/>
        <c:axId val="0"/>
      </c:bar3DChart>
      <c:catAx>
        <c:axId val="96685056"/>
        <c:scaling>
          <c:orientation val="minMax"/>
        </c:scaling>
        <c:delete val="0"/>
        <c:axPos val="b"/>
        <c:majorTickMark val="none"/>
        <c:minorTickMark val="none"/>
        <c:tickLblPos val="nextTo"/>
        <c:crossAx val="96719616"/>
        <c:crosses val="autoZero"/>
        <c:auto val="1"/>
        <c:lblAlgn val="ctr"/>
        <c:lblOffset val="100"/>
        <c:noMultiLvlLbl val="0"/>
      </c:catAx>
      <c:valAx>
        <c:axId val="96719616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96685056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701040</xdr:colOff>
      <xdr:row>156</xdr:row>
      <xdr:rowOff>175260</xdr:rowOff>
    </xdr:from>
    <xdr:to>
      <xdr:col>105</xdr:col>
      <xdr:colOff>403860</xdr:colOff>
      <xdr:row>177</xdr:row>
      <xdr:rowOff>137160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769620</xdr:colOff>
      <xdr:row>179</xdr:row>
      <xdr:rowOff>160020</xdr:rowOff>
    </xdr:from>
    <xdr:to>
      <xdr:col>105</xdr:col>
      <xdr:colOff>335280</xdr:colOff>
      <xdr:row>197</xdr:row>
      <xdr:rowOff>175260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OCTUBRE%202019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ABRIL%20DE%20201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JULIO%20DE%20201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SEPTIEMBRE%20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JULIO%20DE%202019%20&#250;ltim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JUNIO%20DE%20201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MARZO%20201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MAYO%20DE%20201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AGOSTO%20201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FEBRERO%20201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ENERO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 2019"/>
    </sheetNames>
    <sheetDataSet>
      <sheetData sheetId="0">
        <row r="18">
          <cell r="S18">
            <v>174955181</v>
          </cell>
        </row>
        <row r="49">
          <cell r="Q49">
            <v>263832905</v>
          </cell>
          <cell r="AA49">
            <v>571724458</v>
          </cell>
          <cell r="AG49">
            <v>84182491</v>
          </cell>
        </row>
        <row r="50">
          <cell r="H50">
            <v>1299984</v>
          </cell>
        </row>
        <row r="56">
          <cell r="H56">
            <v>37000000</v>
          </cell>
        </row>
        <row r="62">
          <cell r="H62">
            <v>31474170</v>
          </cell>
        </row>
        <row r="66">
          <cell r="H66">
            <v>6992716</v>
          </cell>
        </row>
        <row r="71">
          <cell r="H71">
            <v>33986799</v>
          </cell>
        </row>
        <row r="73">
          <cell r="H73">
            <v>94006019</v>
          </cell>
        </row>
        <row r="75">
          <cell r="H75">
            <v>58558792</v>
          </cell>
        </row>
        <row r="82">
          <cell r="H82">
            <v>3500000</v>
          </cell>
        </row>
        <row r="90">
          <cell r="H90">
            <v>101182014</v>
          </cell>
        </row>
        <row r="95">
          <cell r="H95">
            <v>274508474</v>
          </cell>
        </row>
        <row r="98">
          <cell r="H98">
            <v>3522300</v>
          </cell>
        </row>
        <row r="102">
          <cell r="H102">
            <v>20964337</v>
          </cell>
        </row>
        <row r="105">
          <cell r="H105">
            <v>11900000</v>
          </cell>
        </row>
        <row r="108">
          <cell r="H108">
            <v>10000000</v>
          </cell>
        </row>
        <row r="112">
          <cell r="H112">
            <v>2344042</v>
          </cell>
        </row>
        <row r="115">
          <cell r="H115">
            <v>29993703</v>
          </cell>
        </row>
        <row r="119">
          <cell r="H119">
            <v>65367552</v>
          </cell>
        </row>
        <row r="121">
          <cell r="H121">
            <v>94362806</v>
          </cell>
        </row>
        <row r="137">
          <cell r="Q137">
            <v>574313638</v>
          </cell>
          <cell r="AG137">
            <v>66700631</v>
          </cell>
        </row>
        <row r="138">
          <cell r="H138">
            <v>10000000</v>
          </cell>
        </row>
        <row r="143">
          <cell r="H143">
            <v>24900631</v>
          </cell>
        </row>
        <row r="146">
          <cell r="H146">
            <v>100626399</v>
          </cell>
        </row>
        <row r="151">
          <cell r="H151">
            <v>40817000</v>
          </cell>
        </row>
        <row r="156">
          <cell r="H156">
            <v>95799588</v>
          </cell>
        </row>
        <row r="161">
          <cell r="H161">
            <v>8976571</v>
          </cell>
        </row>
        <row r="170">
          <cell r="H170">
            <v>4478327</v>
          </cell>
        </row>
        <row r="174">
          <cell r="H174">
            <v>792575</v>
          </cell>
        </row>
        <row r="187">
          <cell r="Q187">
            <v>622482913</v>
          </cell>
          <cell r="R187">
            <v>387197714</v>
          </cell>
          <cell r="S187">
            <v>434683892</v>
          </cell>
          <cell r="T187">
            <v>75566279</v>
          </cell>
          <cell r="X187">
            <v>172130178</v>
          </cell>
          <cell r="AG187">
            <v>407811273</v>
          </cell>
        </row>
        <row r="188">
          <cell r="H188">
            <v>18000000</v>
          </cell>
        </row>
        <row r="192">
          <cell r="H192">
            <v>29923820</v>
          </cell>
        </row>
        <row r="207">
          <cell r="H207">
            <v>15198256</v>
          </cell>
        </row>
        <row r="217">
          <cell r="H217">
            <v>9781860</v>
          </cell>
        </row>
        <row r="224">
          <cell r="H224">
            <v>6609617</v>
          </cell>
        </row>
        <row r="234">
          <cell r="H234">
            <v>57990000</v>
          </cell>
        </row>
        <row r="237">
          <cell r="H237">
            <v>2010000</v>
          </cell>
        </row>
        <row r="240">
          <cell r="H240">
            <v>92000000</v>
          </cell>
        </row>
        <row r="247">
          <cell r="H247">
            <v>31734014</v>
          </cell>
        </row>
        <row r="267">
          <cell r="G267">
            <v>114010258</v>
          </cell>
        </row>
        <row r="292">
          <cell r="Z292">
            <v>234490366</v>
          </cell>
          <cell r="AG292">
            <v>26907830</v>
          </cell>
        </row>
        <row r="294">
          <cell r="H294">
            <v>2975000</v>
          </cell>
        </row>
        <row r="296">
          <cell r="H296">
            <v>29090100</v>
          </cell>
        </row>
        <row r="299">
          <cell r="H299">
            <v>14910700</v>
          </cell>
        </row>
        <row r="303">
          <cell r="H303">
            <v>47016900</v>
          </cell>
        </row>
        <row r="306">
          <cell r="H306">
            <v>31082800</v>
          </cell>
        </row>
        <row r="309">
          <cell r="H309">
            <v>987700</v>
          </cell>
        </row>
        <row r="313">
          <cell r="H313">
            <v>32372760</v>
          </cell>
        </row>
        <row r="315">
          <cell r="H315">
            <v>3570000</v>
          </cell>
        </row>
        <row r="318">
          <cell r="H318">
            <v>16660000</v>
          </cell>
        </row>
        <row r="321">
          <cell r="H321">
            <v>7571158</v>
          </cell>
        </row>
        <row r="324">
          <cell r="H324">
            <v>3845000</v>
          </cell>
        </row>
        <row r="327">
          <cell r="H327">
            <v>17546573</v>
          </cell>
        </row>
        <row r="330">
          <cell r="H330">
            <v>1100000</v>
          </cell>
        </row>
        <row r="335">
          <cell r="H335">
            <v>6276000</v>
          </cell>
        </row>
        <row r="338">
          <cell r="H338">
            <v>3850000</v>
          </cell>
        </row>
        <row r="341">
          <cell r="H341">
            <v>14448830</v>
          </cell>
        </row>
        <row r="351">
          <cell r="Q351">
            <v>275811298</v>
          </cell>
        </row>
        <row r="354">
          <cell r="H354">
            <v>30541350</v>
          </cell>
        </row>
        <row r="356">
          <cell r="H356">
            <v>1287342</v>
          </cell>
        </row>
        <row r="358">
          <cell r="H358">
            <v>471240</v>
          </cell>
        </row>
        <row r="361">
          <cell r="H361">
            <v>113102907</v>
          </cell>
        </row>
        <row r="366">
          <cell r="H366">
            <v>33200500</v>
          </cell>
        </row>
        <row r="369">
          <cell r="H369">
            <v>73066000</v>
          </cell>
        </row>
        <row r="378">
          <cell r="AB378">
            <v>210178916</v>
          </cell>
        </row>
        <row r="379">
          <cell r="H379">
            <v>258340123</v>
          </cell>
        </row>
        <row r="484">
          <cell r="L484">
            <v>560000000</v>
          </cell>
        </row>
        <row r="491">
          <cell r="L491">
            <v>656000000</v>
          </cell>
        </row>
        <row r="501">
          <cell r="H501">
            <v>7000000</v>
          </cell>
        </row>
        <row r="510">
          <cell r="H510">
            <v>1170000</v>
          </cell>
        </row>
        <row r="513">
          <cell r="H513">
            <v>3070283</v>
          </cell>
        </row>
        <row r="519">
          <cell r="H519">
            <v>362000</v>
          </cell>
        </row>
        <row r="522">
          <cell r="H522">
            <v>12477000</v>
          </cell>
        </row>
        <row r="525">
          <cell r="H525">
            <v>8000000</v>
          </cell>
        </row>
        <row r="530">
          <cell r="H530">
            <v>1249000</v>
          </cell>
        </row>
        <row r="533">
          <cell r="H533">
            <v>9520000</v>
          </cell>
        </row>
        <row r="536">
          <cell r="H536">
            <v>20204947</v>
          </cell>
        </row>
        <row r="542">
          <cell r="H542">
            <v>11839100</v>
          </cell>
        </row>
        <row r="589">
          <cell r="H589">
            <v>400000</v>
          </cell>
        </row>
        <row r="608">
          <cell r="H608">
            <v>294801475</v>
          </cell>
        </row>
        <row r="610">
          <cell r="K610">
            <v>285345383</v>
          </cell>
          <cell r="AG610">
            <v>53217638</v>
          </cell>
        </row>
        <row r="612">
          <cell r="H612">
            <v>8000000</v>
          </cell>
        </row>
        <row r="614">
          <cell r="H614">
            <v>1600000</v>
          </cell>
        </row>
        <row r="621">
          <cell r="H621">
            <v>1000000</v>
          </cell>
        </row>
        <row r="624">
          <cell r="H624">
            <v>1000000</v>
          </cell>
        </row>
        <row r="856">
          <cell r="H856">
            <v>2400000</v>
          </cell>
        </row>
        <row r="858">
          <cell r="H858">
            <v>577325</v>
          </cell>
        </row>
        <row r="859">
          <cell r="H859">
            <v>577325</v>
          </cell>
        </row>
        <row r="861">
          <cell r="H861">
            <v>1000000</v>
          </cell>
        </row>
        <row r="862">
          <cell r="H862">
            <v>8000000</v>
          </cell>
        </row>
        <row r="865">
          <cell r="H865">
            <v>2000000</v>
          </cell>
        </row>
        <row r="868">
          <cell r="H868">
            <v>869420</v>
          </cell>
        </row>
        <row r="869">
          <cell r="H869">
            <v>2461581</v>
          </cell>
        </row>
        <row r="870">
          <cell r="H870">
            <v>1383769</v>
          </cell>
        </row>
        <row r="871">
          <cell r="H871">
            <v>514218</v>
          </cell>
        </row>
        <row r="872">
          <cell r="H872">
            <v>1000000</v>
          </cell>
        </row>
        <row r="873">
          <cell r="H873">
            <v>834000</v>
          </cell>
        </row>
        <row r="934">
          <cell r="H934">
            <v>11672749</v>
          </cell>
        </row>
        <row r="950">
          <cell r="H950">
            <v>122383571</v>
          </cell>
        </row>
        <row r="1028">
          <cell r="H1028">
            <v>836522</v>
          </cell>
        </row>
        <row r="1066">
          <cell r="H1066">
            <v>8084000</v>
          </cell>
        </row>
        <row r="1170">
          <cell r="H1170">
            <v>15000000</v>
          </cell>
        </row>
        <row r="1193">
          <cell r="K1193">
            <v>114760000</v>
          </cell>
        </row>
        <row r="1210">
          <cell r="G1210">
            <v>800000</v>
          </cell>
        </row>
        <row r="1211">
          <cell r="H1211">
            <v>3025000</v>
          </cell>
        </row>
        <row r="1213">
          <cell r="H1213">
            <v>2600000</v>
          </cell>
        </row>
        <row r="1216">
          <cell r="H1216">
            <v>1230000</v>
          </cell>
        </row>
        <row r="1218">
          <cell r="H1218">
            <v>3637500</v>
          </cell>
        </row>
        <row r="1219">
          <cell r="H1219">
            <v>1656232</v>
          </cell>
        </row>
        <row r="1221">
          <cell r="H1221">
            <v>55126845</v>
          </cell>
        </row>
        <row r="1224">
          <cell r="H1224">
            <v>2000000</v>
          </cell>
        </row>
        <row r="1226">
          <cell r="H1226">
            <v>7999667</v>
          </cell>
        </row>
        <row r="1230">
          <cell r="H1230">
            <v>27306669</v>
          </cell>
        </row>
        <row r="1241">
          <cell r="G1241">
            <v>39489326</v>
          </cell>
        </row>
        <row r="1249">
          <cell r="H1249">
            <v>48062158</v>
          </cell>
        </row>
        <row r="1257">
          <cell r="H1257">
            <v>740000</v>
          </cell>
        </row>
        <row r="1263">
          <cell r="G1263">
            <v>1649000</v>
          </cell>
          <cell r="H1263">
            <v>1649000</v>
          </cell>
        </row>
        <row r="1271">
          <cell r="H1271">
            <v>3295674</v>
          </cell>
        </row>
        <row r="1272">
          <cell r="G1272">
            <v>700000</v>
          </cell>
        </row>
        <row r="1273">
          <cell r="G1273">
            <v>3000000</v>
          </cell>
        </row>
        <row r="1284">
          <cell r="H1284">
            <v>14749862</v>
          </cell>
        </row>
        <row r="1291">
          <cell r="H1291">
            <v>10941940</v>
          </cell>
        </row>
        <row r="1296">
          <cell r="G1296">
            <v>1000000</v>
          </cell>
        </row>
        <row r="1297">
          <cell r="G1297">
            <v>610455</v>
          </cell>
        </row>
        <row r="1305">
          <cell r="Z1305">
            <v>99046000</v>
          </cell>
        </row>
        <row r="1329">
          <cell r="H1329">
            <v>1000000</v>
          </cell>
        </row>
        <row r="1332">
          <cell r="H1332">
            <v>30000000</v>
          </cell>
        </row>
        <row r="1335">
          <cell r="H1335">
            <v>4000000</v>
          </cell>
        </row>
        <row r="1340">
          <cell r="H1340">
            <v>4000000</v>
          </cell>
        </row>
        <row r="1343">
          <cell r="H1343">
            <v>2800000</v>
          </cell>
        </row>
        <row r="1348">
          <cell r="H1348">
            <v>998600</v>
          </cell>
        </row>
        <row r="1352">
          <cell r="H1352">
            <v>2712008</v>
          </cell>
        </row>
        <row r="1355">
          <cell r="H1355">
            <v>7333992</v>
          </cell>
        </row>
        <row r="1359">
          <cell r="H1359">
            <v>8000000</v>
          </cell>
        </row>
        <row r="1362">
          <cell r="H1362">
            <v>8000000</v>
          </cell>
        </row>
        <row r="1365">
          <cell r="H1365">
            <v>4897241</v>
          </cell>
        </row>
        <row r="1367">
          <cell r="I1367">
            <v>5465342</v>
          </cell>
          <cell r="Z1367">
            <v>30000000</v>
          </cell>
          <cell r="AA1367">
            <v>32712008</v>
          </cell>
        </row>
        <row r="1386">
          <cell r="H1386">
            <v>4399964</v>
          </cell>
        </row>
        <row r="1392">
          <cell r="H1392">
            <v>40000000</v>
          </cell>
        </row>
        <row r="1433">
          <cell r="G1433">
            <v>1500000</v>
          </cell>
        </row>
        <row r="1474">
          <cell r="AC1474">
            <v>1235268428</v>
          </cell>
        </row>
        <row r="1544">
          <cell r="H1544">
            <v>108959308</v>
          </cell>
        </row>
        <row r="1602">
          <cell r="H1602">
            <v>8000000</v>
          </cell>
        </row>
        <row r="1639">
          <cell r="Q1639">
            <v>103290747</v>
          </cell>
        </row>
        <row r="1653">
          <cell r="U1653">
            <v>20415783</v>
          </cell>
        </row>
        <row r="1654">
          <cell r="H1654">
            <v>7680000</v>
          </cell>
        </row>
        <row r="1656">
          <cell r="H1656">
            <v>8442532</v>
          </cell>
        </row>
        <row r="1660">
          <cell r="H1660">
            <v>86577260</v>
          </cell>
        </row>
        <row r="1662">
          <cell r="H1662">
            <v>6399997</v>
          </cell>
        </row>
        <row r="1664">
          <cell r="H1664">
            <v>8400000</v>
          </cell>
        </row>
        <row r="1668">
          <cell r="H1668">
            <v>33126744</v>
          </cell>
        </row>
        <row r="1684">
          <cell r="H1684">
            <v>6634245</v>
          </cell>
        </row>
        <row r="1687">
          <cell r="H1687">
            <v>5845753</v>
          </cell>
        </row>
        <row r="1695">
          <cell r="H1695">
            <v>579401777</v>
          </cell>
        </row>
        <row r="1697">
          <cell r="Q1697">
            <v>628629526</v>
          </cell>
        </row>
        <row r="1740">
          <cell r="H1740">
            <v>6000000</v>
          </cell>
        </row>
        <row r="1742">
          <cell r="H1742">
            <v>2959112</v>
          </cell>
        </row>
        <row r="1749">
          <cell r="H1749">
            <v>101156400</v>
          </cell>
        </row>
        <row r="1751">
          <cell r="Q1751">
            <v>68955726</v>
          </cell>
          <cell r="AB1751">
            <v>34200674</v>
          </cell>
        </row>
        <row r="1789">
          <cell r="H1789">
            <v>2483296</v>
          </cell>
        </row>
        <row r="1790">
          <cell r="H1790">
            <v>3000000</v>
          </cell>
        </row>
        <row r="1791">
          <cell r="H1791">
            <v>2483296</v>
          </cell>
        </row>
        <row r="1792">
          <cell r="H1792">
            <v>502558</v>
          </cell>
        </row>
        <row r="1793">
          <cell r="H1793">
            <v>2100000</v>
          </cell>
        </row>
        <row r="1796">
          <cell r="H1796">
            <v>2000000</v>
          </cell>
        </row>
        <row r="1799">
          <cell r="H1799">
            <v>6666667</v>
          </cell>
        </row>
        <row r="1804">
          <cell r="H1804">
            <v>1364857</v>
          </cell>
        </row>
        <row r="1805">
          <cell r="H1805">
            <v>1500000</v>
          </cell>
        </row>
        <row r="1806">
          <cell r="H1806">
            <v>2500000</v>
          </cell>
        </row>
        <row r="1807">
          <cell r="H1807">
            <v>1400000</v>
          </cell>
        </row>
        <row r="1808">
          <cell r="H1808">
            <v>1000000</v>
          </cell>
        </row>
        <row r="1809">
          <cell r="H1809">
            <v>5200000</v>
          </cell>
        </row>
        <row r="1846">
          <cell r="V1846">
            <v>1614681</v>
          </cell>
          <cell r="W1846">
            <v>2065739</v>
          </cell>
          <cell r="X1846">
            <v>2592938</v>
          </cell>
          <cell r="AB1846">
            <v>5266000</v>
          </cell>
        </row>
        <row r="1847">
          <cell r="H1847">
            <v>5000000</v>
          </cell>
        </row>
        <row r="1852">
          <cell r="H1852">
            <v>950000</v>
          </cell>
        </row>
        <row r="1854">
          <cell r="W1854">
            <v>950000</v>
          </cell>
        </row>
        <row r="1856">
          <cell r="H1856">
            <v>950000</v>
          </cell>
        </row>
        <row r="1859">
          <cell r="H1859">
            <v>436058</v>
          </cell>
        </row>
        <row r="1860">
          <cell r="H1860">
            <v>459058</v>
          </cell>
        </row>
        <row r="1861">
          <cell r="H1861">
            <v>474058</v>
          </cell>
        </row>
        <row r="1862">
          <cell r="H1862">
            <v>464058</v>
          </cell>
        </row>
        <row r="1863">
          <cell r="H1863">
            <v>5000000</v>
          </cell>
        </row>
        <row r="1867">
          <cell r="H1867">
            <v>3000000</v>
          </cell>
        </row>
        <row r="1869">
          <cell r="H1869">
            <v>4878667</v>
          </cell>
        </row>
        <row r="1872">
          <cell r="H1872">
            <v>1266000</v>
          </cell>
        </row>
        <row r="1873">
          <cell r="H1873">
            <v>1000000</v>
          </cell>
        </row>
        <row r="1875">
          <cell r="H1875">
            <v>205623</v>
          </cell>
        </row>
        <row r="1876">
          <cell r="H1876">
            <v>205623</v>
          </cell>
        </row>
        <row r="1877">
          <cell r="H1877">
            <v>205623</v>
          </cell>
        </row>
        <row r="1878">
          <cell r="H1878">
            <v>973257</v>
          </cell>
        </row>
        <row r="1904">
          <cell r="H1904">
            <v>105161503</v>
          </cell>
        </row>
        <row r="1906">
          <cell r="Q1906">
            <v>49002673</v>
          </cell>
          <cell r="AG1906">
            <v>70288918</v>
          </cell>
        </row>
        <row r="1916">
          <cell r="H1916">
            <v>1660212</v>
          </cell>
        </row>
        <row r="1917">
          <cell r="H1917">
            <v>862690</v>
          </cell>
        </row>
        <row r="1918">
          <cell r="H1918">
            <v>2500000</v>
          </cell>
        </row>
        <row r="1929">
          <cell r="H1929">
            <v>2608000</v>
          </cell>
        </row>
        <row r="1930">
          <cell r="H1930">
            <v>449515</v>
          </cell>
        </row>
        <row r="1935">
          <cell r="H1935">
            <v>2500000</v>
          </cell>
        </row>
        <row r="1941">
          <cell r="H1941">
            <v>1430000</v>
          </cell>
        </row>
        <row r="1943">
          <cell r="H1943">
            <v>3000000</v>
          </cell>
        </row>
        <row r="1944">
          <cell r="H1944">
            <v>1010000</v>
          </cell>
        </row>
        <row r="1947">
          <cell r="H1947">
            <v>3000000</v>
          </cell>
        </row>
        <row r="1949">
          <cell r="H1949">
            <v>1156000</v>
          </cell>
        </row>
        <row r="1950">
          <cell r="H1950">
            <v>6000000</v>
          </cell>
        </row>
        <row r="1951">
          <cell r="H1951">
            <v>2500000</v>
          </cell>
        </row>
        <row r="1952">
          <cell r="H1952">
            <v>3000000</v>
          </cell>
        </row>
        <row r="1955">
          <cell r="H1955">
            <v>3107877</v>
          </cell>
        </row>
        <row r="1956">
          <cell r="H1956">
            <v>2500000</v>
          </cell>
        </row>
        <row r="1961">
          <cell r="H1961">
            <v>2500000</v>
          </cell>
        </row>
        <row r="1962">
          <cell r="H1962">
            <v>2500000</v>
          </cell>
        </row>
        <row r="1963">
          <cell r="H1963">
            <v>1000000</v>
          </cell>
        </row>
        <row r="1964">
          <cell r="H1964">
            <v>2179060</v>
          </cell>
        </row>
        <row r="1965">
          <cell r="H1965">
            <v>1000000</v>
          </cell>
        </row>
        <row r="1966">
          <cell r="H1966">
            <v>1167573</v>
          </cell>
        </row>
        <row r="1967">
          <cell r="H1967">
            <v>1371746</v>
          </cell>
        </row>
        <row r="1989">
          <cell r="H1989">
            <v>20578503</v>
          </cell>
        </row>
        <row r="2000">
          <cell r="H2000">
            <v>35000000</v>
          </cell>
        </row>
        <row r="2014">
          <cell r="I2014">
            <v>945337</v>
          </cell>
          <cell r="Z2014">
            <v>20000000</v>
          </cell>
          <cell r="AD2014">
            <v>91899873</v>
          </cell>
        </row>
        <row r="2047">
          <cell r="H2047">
            <v>21679242</v>
          </cell>
        </row>
        <row r="2072">
          <cell r="H2072">
            <v>91619294</v>
          </cell>
        </row>
        <row r="2087">
          <cell r="H2087">
            <v>980000</v>
          </cell>
        </row>
        <row r="2091">
          <cell r="H2091">
            <v>3418317</v>
          </cell>
        </row>
        <row r="2098">
          <cell r="H2098">
            <v>19879424</v>
          </cell>
        </row>
        <row r="2117">
          <cell r="H2117">
            <v>47799225</v>
          </cell>
        </row>
        <row r="2119">
          <cell r="Q2119">
            <v>2000000</v>
          </cell>
          <cell r="AG2119">
            <v>53799225</v>
          </cell>
        </row>
        <row r="2165">
          <cell r="H2165">
            <v>2666595</v>
          </cell>
        </row>
        <row r="2167">
          <cell r="AB2167">
            <v>2666595</v>
          </cell>
        </row>
        <row r="2171">
          <cell r="H2171">
            <v>3645772</v>
          </cell>
        </row>
        <row r="2173">
          <cell r="AB2173">
            <v>3645772</v>
          </cell>
        </row>
        <row r="2181">
          <cell r="Q2181">
            <v>1580000</v>
          </cell>
        </row>
        <row r="2190">
          <cell r="Q2190">
            <v>7055740</v>
          </cell>
          <cell r="AB2190">
            <v>3000000</v>
          </cell>
        </row>
        <row r="2204">
          <cell r="AB2204">
            <v>3000000</v>
          </cell>
        </row>
        <row r="2206">
          <cell r="H2206">
            <v>3000000</v>
          </cell>
        </row>
        <row r="2210">
          <cell r="H2210">
            <v>3576929</v>
          </cell>
        </row>
        <row r="2212">
          <cell r="Q2212">
            <v>3576929</v>
          </cell>
        </row>
        <row r="2225">
          <cell r="AB2225">
            <v>4871475</v>
          </cell>
        </row>
        <row r="2240">
          <cell r="H2240">
            <v>6829400</v>
          </cell>
        </row>
        <row r="2242">
          <cell r="Q2242">
            <v>9829400</v>
          </cell>
        </row>
        <row r="2254">
          <cell r="H2254">
            <v>87445479</v>
          </cell>
        </row>
        <row r="2256">
          <cell r="Q2256">
            <v>74563730</v>
          </cell>
          <cell r="T2256">
            <v>5005939</v>
          </cell>
          <cell r="AG2256">
            <v>11329545</v>
          </cell>
        </row>
        <row r="2261">
          <cell r="H2261">
            <v>435000</v>
          </cell>
        </row>
        <row r="2266">
          <cell r="H2266">
            <v>600000</v>
          </cell>
        </row>
        <row r="2267">
          <cell r="H2267">
            <v>480000</v>
          </cell>
        </row>
        <row r="2269">
          <cell r="H2269">
            <v>2040000</v>
          </cell>
        </row>
        <row r="2273">
          <cell r="H2273">
            <v>224553</v>
          </cell>
        </row>
        <row r="2276">
          <cell r="H2276">
            <v>1200000</v>
          </cell>
        </row>
        <row r="2278">
          <cell r="H2278">
            <v>2542394</v>
          </cell>
        </row>
        <row r="2291">
          <cell r="H2291">
            <v>416250</v>
          </cell>
        </row>
        <row r="2297">
          <cell r="H2297">
            <v>925650</v>
          </cell>
        </row>
        <row r="2300">
          <cell r="H2300">
            <v>2030000</v>
          </cell>
        </row>
        <row r="2307">
          <cell r="H2307">
            <v>1080000</v>
          </cell>
        </row>
        <row r="2310">
          <cell r="H2310">
            <v>2000000</v>
          </cell>
        </row>
        <row r="2314">
          <cell r="H2314">
            <v>3132000</v>
          </cell>
        </row>
        <row r="2315">
          <cell r="H2315">
            <v>607545</v>
          </cell>
        </row>
        <row r="2323">
          <cell r="H2323">
            <v>1440000</v>
          </cell>
        </row>
        <row r="2324">
          <cell r="H2324">
            <v>4120000</v>
          </cell>
        </row>
        <row r="2325">
          <cell r="H2325">
            <v>608359</v>
          </cell>
        </row>
        <row r="2357">
          <cell r="H2357">
            <v>46772947</v>
          </cell>
        </row>
        <row r="2380">
          <cell r="H2380">
            <v>590601198</v>
          </cell>
        </row>
        <row r="2382">
          <cell r="U2382">
            <v>643772375</v>
          </cell>
        </row>
        <row r="2383">
          <cell r="H2383">
            <v>300000</v>
          </cell>
        </row>
        <row r="2385">
          <cell r="H2385">
            <v>300000</v>
          </cell>
        </row>
        <row r="2387">
          <cell r="H2387">
            <v>10999996</v>
          </cell>
        </row>
        <row r="2390">
          <cell r="H2390">
            <v>225188</v>
          </cell>
        </row>
        <row r="2392">
          <cell r="H2392">
            <v>3736600</v>
          </cell>
        </row>
        <row r="2394">
          <cell r="H2394">
            <v>1300000</v>
          </cell>
        </row>
        <row r="2396">
          <cell r="H2396">
            <v>10999996</v>
          </cell>
        </row>
        <row r="2399">
          <cell r="H2399">
            <v>6000000</v>
          </cell>
        </row>
        <row r="2401">
          <cell r="H2401">
            <v>11065752</v>
          </cell>
        </row>
        <row r="2404">
          <cell r="H2404">
            <v>2814435</v>
          </cell>
        </row>
        <row r="2405">
          <cell r="H2405">
            <v>930000</v>
          </cell>
        </row>
        <row r="2406">
          <cell r="H2406">
            <v>1228000</v>
          </cell>
        </row>
        <row r="2408">
          <cell r="H2408">
            <v>11000000</v>
          </cell>
        </row>
        <row r="2412">
          <cell r="H2412">
            <v>2000000</v>
          </cell>
        </row>
        <row r="2413">
          <cell r="H2413">
            <v>2261395</v>
          </cell>
        </row>
        <row r="2414">
          <cell r="H2414">
            <v>3797090</v>
          </cell>
        </row>
        <row r="2415">
          <cell r="H2415">
            <v>3797090</v>
          </cell>
        </row>
        <row r="2416">
          <cell r="H2416">
            <v>4044456</v>
          </cell>
        </row>
        <row r="2417">
          <cell r="H2417">
            <v>1555560</v>
          </cell>
        </row>
        <row r="2418">
          <cell r="H2418">
            <v>11699996</v>
          </cell>
        </row>
        <row r="2420">
          <cell r="H2420">
            <v>11919000</v>
          </cell>
        </row>
        <row r="2680">
          <cell r="H2680">
            <v>5479000</v>
          </cell>
        </row>
        <row r="2682">
          <cell r="Q2682">
            <v>7781000</v>
          </cell>
        </row>
        <row r="2698">
          <cell r="H2698">
            <v>74497071</v>
          </cell>
        </row>
        <row r="2700">
          <cell r="Q2700">
            <v>81562652</v>
          </cell>
          <cell r="S2700">
            <v>4442302</v>
          </cell>
        </row>
        <row r="2761">
          <cell r="H2761">
            <v>4442302</v>
          </cell>
        </row>
        <row r="2790">
          <cell r="H2790">
            <v>76935265</v>
          </cell>
        </row>
        <row r="2792">
          <cell r="Q2792">
            <v>87700266</v>
          </cell>
        </row>
        <row r="2813">
          <cell r="H2813">
            <v>1041584359</v>
          </cell>
        </row>
        <row r="2869">
          <cell r="H2869">
            <v>12583330</v>
          </cell>
        </row>
        <row r="2880">
          <cell r="H2880">
            <v>11200000</v>
          </cell>
        </row>
        <row r="2890">
          <cell r="H2890">
            <v>16827475</v>
          </cell>
        </row>
        <row r="2944">
          <cell r="H2944">
            <v>3312000</v>
          </cell>
        </row>
        <row r="2954">
          <cell r="H2954">
            <v>6366400</v>
          </cell>
        </row>
        <row r="3037">
          <cell r="H3037">
            <v>92450372</v>
          </cell>
        </row>
        <row r="3039">
          <cell r="Q3039">
            <v>44360267</v>
          </cell>
          <cell r="U3039">
            <v>14593333</v>
          </cell>
          <cell r="AB3039">
            <v>61754283</v>
          </cell>
        </row>
        <row r="3044">
          <cell r="H3044">
            <v>4999991</v>
          </cell>
        </row>
        <row r="3046">
          <cell r="H3046">
            <v>8281160</v>
          </cell>
        </row>
        <row r="3054">
          <cell r="H3054">
            <v>11999998</v>
          </cell>
        </row>
        <row r="3057">
          <cell r="H3057">
            <v>4473333</v>
          </cell>
        </row>
        <row r="3064">
          <cell r="H3064">
            <v>1670607</v>
          </cell>
        </row>
        <row r="3065">
          <cell r="H3065">
            <v>271000</v>
          </cell>
        </row>
        <row r="3083">
          <cell r="H3083">
            <v>170243282</v>
          </cell>
        </row>
        <row r="3085">
          <cell r="Q3085">
            <v>88632141</v>
          </cell>
          <cell r="AB3085">
            <v>33087315</v>
          </cell>
          <cell r="AG3085">
            <v>67722598</v>
          </cell>
        </row>
        <row r="3086">
          <cell r="H3086">
            <v>20924708</v>
          </cell>
        </row>
        <row r="3091">
          <cell r="H3091">
            <v>8556667</v>
          </cell>
        </row>
        <row r="3093">
          <cell r="H3093">
            <v>8000000</v>
          </cell>
        </row>
        <row r="3096">
          <cell r="H3096">
            <v>1750350</v>
          </cell>
        </row>
        <row r="3098">
          <cell r="H3098">
            <v>13533333</v>
          </cell>
        </row>
        <row r="3102">
          <cell r="H3102">
            <v>3504000</v>
          </cell>
        </row>
        <row r="3107">
          <cell r="H3107">
            <v>1766500</v>
          </cell>
        </row>
        <row r="3122">
          <cell r="H3122">
            <v>2184894</v>
          </cell>
        </row>
        <row r="3126">
          <cell r="H3126">
            <v>4000000</v>
          </cell>
        </row>
        <row r="3130">
          <cell r="H3130">
            <v>740000</v>
          </cell>
        </row>
        <row r="3132">
          <cell r="H3132">
            <v>6500000</v>
          </cell>
        </row>
        <row r="3149">
          <cell r="H3149">
            <v>3134632</v>
          </cell>
        </row>
        <row r="3154">
          <cell r="H3154">
            <v>1972411</v>
          </cell>
        </row>
        <row r="3158">
          <cell r="H3158">
            <v>592000</v>
          </cell>
        </row>
        <row r="3159">
          <cell r="H3159">
            <v>982759</v>
          </cell>
        </row>
        <row r="3165">
          <cell r="H3165">
            <v>4000000</v>
          </cell>
        </row>
        <row r="3178">
          <cell r="H3178">
            <v>135142337</v>
          </cell>
        </row>
        <row r="3180">
          <cell r="AB3180">
            <v>95873131</v>
          </cell>
        </row>
        <row r="3195">
          <cell r="I3195">
            <v>0</v>
          </cell>
        </row>
        <row r="3196">
          <cell r="H3196">
            <v>420000</v>
          </cell>
        </row>
        <row r="3202">
          <cell r="H3202">
            <v>34982827</v>
          </cell>
        </row>
        <row r="3237">
          <cell r="H3237">
            <v>10421000</v>
          </cell>
        </row>
        <row r="3304">
          <cell r="Z3304">
            <v>34949989</v>
          </cell>
        </row>
        <row r="3305">
          <cell r="H3305">
            <v>24109989</v>
          </cell>
        </row>
        <row r="3315">
          <cell r="H3315">
            <v>5000000</v>
          </cell>
        </row>
        <row r="3317">
          <cell r="H3317">
            <v>599869</v>
          </cell>
        </row>
        <row r="3318">
          <cell r="H3318">
            <v>599869</v>
          </cell>
        </row>
        <row r="3319">
          <cell r="H3319">
            <v>599869</v>
          </cell>
        </row>
        <row r="3320">
          <cell r="H3320">
            <v>599869</v>
          </cell>
        </row>
        <row r="3321">
          <cell r="H3321">
            <v>1783000</v>
          </cell>
        </row>
        <row r="3322">
          <cell r="H3322">
            <v>449246</v>
          </cell>
        </row>
        <row r="3323">
          <cell r="H3323">
            <v>532058</v>
          </cell>
        </row>
        <row r="3324">
          <cell r="H3324">
            <v>17792000</v>
          </cell>
        </row>
        <row r="3326">
          <cell r="H3326">
            <v>227623</v>
          </cell>
        </row>
        <row r="3327">
          <cell r="H3327">
            <v>227623</v>
          </cell>
        </row>
        <row r="3328">
          <cell r="H3328">
            <v>390000</v>
          </cell>
        </row>
        <row r="3329">
          <cell r="H3329">
            <v>1546921</v>
          </cell>
        </row>
        <row r="3331">
          <cell r="H3331">
            <v>449246</v>
          </cell>
        </row>
        <row r="3332">
          <cell r="H3332">
            <v>449246</v>
          </cell>
        </row>
        <row r="3333">
          <cell r="H3333">
            <v>5000000</v>
          </cell>
        </row>
        <row r="3336">
          <cell r="H3336">
            <v>227623</v>
          </cell>
        </row>
        <row r="3337">
          <cell r="H3337">
            <v>227623</v>
          </cell>
        </row>
        <row r="3338">
          <cell r="H3338">
            <v>6252396</v>
          </cell>
        </row>
        <row r="3347">
          <cell r="H3347">
            <v>20000000</v>
          </cell>
        </row>
        <row r="3361">
          <cell r="H3361">
            <v>25000000</v>
          </cell>
        </row>
        <row r="3391">
          <cell r="Z3391">
            <v>20133333</v>
          </cell>
        </row>
        <row r="3398">
          <cell r="Z3398">
            <v>4991333</v>
          </cell>
        </row>
        <row r="3409">
          <cell r="S3409">
            <v>14999964</v>
          </cell>
          <cell r="AG3409">
            <v>26956371</v>
          </cell>
        </row>
        <row r="3410">
          <cell r="H3410">
            <v>2999997</v>
          </cell>
        </row>
        <row r="3413">
          <cell r="H3413">
            <v>1700000</v>
          </cell>
        </row>
        <row r="3414">
          <cell r="H3414">
            <v>571280</v>
          </cell>
        </row>
        <row r="3415">
          <cell r="H3415">
            <v>571280</v>
          </cell>
        </row>
        <row r="3416">
          <cell r="H3416">
            <v>487814</v>
          </cell>
        </row>
        <row r="3417">
          <cell r="H3417">
            <v>7200000</v>
          </cell>
        </row>
        <row r="3419">
          <cell r="H3419">
            <v>10000000</v>
          </cell>
        </row>
        <row r="3422">
          <cell r="H3422">
            <v>998243</v>
          </cell>
        </row>
        <row r="3424">
          <cell r="H3424">
            <v>14999964</v>
          </cell>
        </row>
        <row r="3428">
          <cell r="H3428">
            <v>737000</v>
          </cell>
        </row>
        <row r="3432">
          <cell r="H3432">
            <v>467044183</v>
          </cell>
        </row>
        <row r="3530">
          <cell r="N3530">
            <v>20000000</v>
          </cell>
        </row>
        <row r="3565">
          <cell r="H3565">
            <v>9450000</v>
          </cell>
        </row>
        <row r="3596">
          <cell r="H3596">
            <v>11300000</v>
          </cell>
        </row>
        <row r="3615">
          <cell r="H3615">
            <v>27288833</v>
          </cell>
        </row>
        <row r="3633">
          <cell r="H3633">
            <v>2924346</v>
          </cell>
        </row>
        <row r="3642">
          <cell r="H3642">
            <v>1995631</v>
          </cell>
        </row>
        <row r="3675">
          <cell r="H3675">
            <v>259888980</v>
          </cell>
        </row>
        <row r="3677">
          <cell r="K3677">
            <v>171913332</v>
          </cell>
          <cell r="AG3677">
            <v>125227178</v>
          </cell>
        </row>
        <row r="3686">
          <cell r="H3686">
            <v>121839999</v>
          </cell>
        </row>
        <row r="3715">
          <cell r="H3715">
            <v>3000000</v>
          </cell>
        </row>
        <row r="3718">
          <cell r="H3718">
            <v>10000000</v>
          </cell>
        </row>
        <row r="3721">
          <cell r="H3721">
            <v>3000000</v>
          </cell>
        </row>
        <row r="3724">
          <cell r="H3724">
            <v>3000000</v>
          </cell>
        </row>
        <row r="3727">
          <cell r="H3727">
            <v>1532790</v>
          </cell>
        </row>
        <row r="3739">
          <cell r="H3739">
            <v>1300000</v>
          </cell>
        </row>
        <row r="3777">
          <cell r="H3777">
            <v>98665188</v>
          </cell>
        </row>
        <row r="3779">
          <cell r="K3779">
            <v>118086668</v>
          </cell>
          <cell r="AG3779">
            <v>3435340</v>
          </cell>
        </row>
        <row r="3791">
          <cell r="H3791">
            <v>303623</v>
          </cell>
        </row>
        <row r="3818">
          <cell r="H3818">
            <v>935340</v>
          </cell>
        </row>
        <row r="3845">
          <cell r="G3845">
            <v>4000000</v>
          </cell>
        </row>
        <row r="3905">
          <cell r="H3905">
            <v>3825430</v>
          </cell>
        </row>
        <row r="3912">
          <cell r="H3912">
            <v>98640758</v>
          </cell>
        </row>
        <row r="3914">
          <cell r="K3914">
            <v>31920200</v>
          </cell>
          <cell r="AA3914">
            <v>21500000</v>
          </cell>
          <cell r="AG3914">
            <v>41350000</v>
          </cell>
        </row>
        <row r="3941">
          <cell r="H3941">
            <v>2240558</v>
          </cell>
        </row>
        <row r="3946">
          <cell r="I3946">
            <v>2800000</v>
          </cell>
          <cell r="Z3946">
            <v>19800000</v>
          </cell>
          <cell r="AA3946">
            <v>6000000</v>
          </cell>
        </row>
        <row r="3950">
          <cell r="H3950">
            <v>1000000</v>
          </cell>
        </row>
        <row r="3953">
          <cell r="H3953">
            <v>7000000</v>
          </cell>
        </row>
        <row r="3984">
          <cell r="H3984">
            <v>4373333</v>
          </cell>
        </row>
        <row r="4018">
          <cell r="K4018">
            <v>120000000</v>
          </cell>
        </row>
        <row r="4037">
          <cell r="H4037">
            <v>291335</v>
          </cell>
        </row>
        <row r="4042">
          <cell r="K4042">
            <v>118270473</v>
          </cell>
          <cell r="AA4042">
            <v>10000000</v>
          </cell>
        </row>
        <row r="4043">
          <cell r="H4043">
            <v>118197139</v>
          </cell>
        </row>
        <row r="4060">
          <cell r="H4060">
            <v>73333</v>
          </cell>
        </row>
        <row r="4063">
          <cell r="H4063">
            <v>8333806</v>
          </cell>
        </row>
        <row r="4070">
          <cell r="K4070">
            <v>149212900</v>
          </cell>
          <cell r="AA4070">
            <v>798526</v>
          </cell>
        </row>
        <row r="4071">
          <cell r="H4071">
            <v>149212900</v>
          </cell>
        </row>
        <row r="4084">
          <cell r="H4084">
            <v>798526</v>
          </cell>
        </row>
        <row r="4088">
          <cell r="H4088">
            <v>5453000</v>
          </cell>
        </row>
        <row r="4090">
          <cell r="AA4090">
            <v>7000000</v>
          </cell>
        </row>
        <row r="4143">
          <cell r="H4143">
            <v>203017628</v>
          </cell>
        </row>
        <row r="4145">
          <cell r="K4145">
            <v>110999572</v>
          </cell>
          <cell r="AG4145">
            <v>125327054</v>
          </cell>
        </row>
        <row r="4156">
          <cell r="H4156">
            <v>5000000</v>
          </cell>
        </row>
        <row r="4160">
          <cell r="H4160">
            <v>1500000</v>
          </cell>
        </row>
        <row r="4171">
          <cell r="H4171">
            <v>1500000</v>
          </cell>
        </row>
        <row r="4175">
          <cell r="H4175">
            <v>1500000</v>
          </cell>
        </row>
        <row r="4178">
          <cell r="H4178">
            <v>1500000</v>
          </cell>
        </row>
        <row r="4179">
          <cell r="H4179">
            <v>1500000</v>
          </cell>
        </row>
        <row r="4180">
          <cell r="H4180">
            <v>1500000</v>
          </cell>
        </row>
        <row r="4181">
          <cell r="H4181">
            <v>2000000</v>
          </cell>
        </row>
        <row r="4184">
          <cell r="H4184">
            <v>3000000</v>
          </cell>
        </row>
        <row r="4187">
          <cell r="H4187">
            <v>5000000</v>
          </cell>
        </row>
        <row r="4191">
          <cell r="H4191">
            <v>1000000</v>
          </cell>
        </row>
        <row r="4196">
          <cell r="H4196">
            <v>919643</v>
          </cell>
        </row>
        <row r="4197">
          <cell r="H4197">
            <v>1500000</v>
          </cell>
        </row>
        <row r="4199">
          <cell r="H4199">
            <v>2500000</v>
          </cell>
        </row>
        <row r="4200">
          <cell r="H4200">
            <v>2500000</v>
          </cell>
        </row>
        <row r="4201">
          <cell r="H4201">
            <v>1860000</v>
          </cell>
        </row>
        <row r="4202">
          <cell r="H4202">
            <v>1000000</v>
          </cell>
        </row>
        <row r="4203">
          <cell r="H4203">
            <v>200000</v>
          </cell>
        </row>
        <row r="4205">
          <cell r="H4205">
            <v>1000000</v>
          </cell>
        </row>
        <row r="4206">
          <cell r="H4206">
            <v>4500000</v>
          </cell>
        </row>
        <row r="4207">
          <cell r="H4207">
            <v>1500000</v>
          </cell>
        </row>
        <row r="4208">
          <cell r="H4208">
            <v>2500000</v>
          </cell>
        </row>
        <row r="4209">
          <cell r="H4209">
            <v>1000000</v>
          </cell>
        </row>
        <row r="4210">
          <cell r="H4210">
            <v>1700000</v>
          </cell>
        </row>
        <row r="4212">
          <cell r="H4212">
            <v>1800000</v>
          </cell>
        </row>
        <row r="4226">
          <cell r="H4226">
            <v>1500000</v>
          </cell>
        </row>
        <row r="4227">
          <cell r="H4227">
            <v>1500000</v>
          </cell>
        </row>
        <row r="4229">
          <cell r="H4229">
            <v>1500000</v>
          </cell>
        </row>
        <row r="4230">
          <cell r="H4230">
            <v>1000000</v>
          </cell>
        </row>
        <row r="4231">
          <cell r="H4231">
            <v>2860000</v>
          </cell>
        </row>
        <row r="4232">
          <cell r="H4232">
            <v>2500000</v>
          </cell>
        </row>
        <row r="4233">
          <cell r="H4233">
            <v>2500000</v>
          </cell>
        </row>
        <row r="4234">
          <cell r="H4234">
            <v>2500000</v>
          </cell>
        </row>
        <row r="4236">
          <cell r="H4236">
            <v>1000000</v>
          </cell>
        </row>
        <row r="4237">
          <cell r="H4237">
            <v>1000000</v>
          </cell>
        </row>
        <row r="4238">
          <cell r="H4238">
            <v>1500000</v>
          </cell>
        </row>
        <row r="4240">
          <cell r="H4240">
            <v>1000000</v>
          </cell>
        </row>
        <row r="4241">
          <cell r="H4241">
            <v>344000</v>
          </cell>
        </row>
        <row r="4242">
          <cell r="H4242">
            <v>2400000</v>
          </cell>
        </row>
        <row r="4244">
          <cell r="H4244">
            <v>780000</v>
          </cell>
        </row>
        <row r="4246">
          <cell r="H4246">
            <v>116000</v>
          </cell>
        </row>
        <row r="4247">
          <cell r="H4247">
            <v>116000</v>
          </cell>
        </row>
        <row r="4248">
          <cell r="H4248">
            <v>1890000</v>
          </cell>
        </row>
        <row r="4249">
          <cell r="H4249">
            <v>1214286</v>
          </cell>
        </row>
        <row r="4250">
          <cell r="H4250">
            <v>8000000</v>
          </cell>
        </row>
        <row r="4259">
          <cell r="H4259">
            <v>16000000</v>
          </cell>
        </row>
        <row r="4278">
          <cell r="H4278">
            <v>919643</v>
          </cell>
        </row>
        <row r="4279">
          <cell r="H4279">
            <v>1280000</v>
          </cell>
        </row>
        <row r="4280">
          <cell r="H4280">
            <v>1500000</v>
          </cell>
        </row>
        <row r="4283">
          <cell r="H4283">
            <v>1000000</v>
          </cell>
        </row>
        <row r="4285">
          <cell r="H4285">
            <v>500000</v>
          </cell>
        </row>
        <row r="4288">
          <cell r="H4288">
            <v>2500000</v>
          </cell>
        </row>
        <row r="4292">
          <cell r="H4292">
            <v>8375000</v>
          </cell>
        </row>
        <row r="4294">
          <cell r="K4294">
            <v>10174000</v>
          </cell>
        </row>
        <row r="4305">
          <cell r="H4305">
            <v>39432833</v>
          </cell>
        </row>
        <row r="4307">
          <cell r="AG4307">
            <v>24432833</v>
          </cell>
        </row>
        <row r="4350">
          <cell r="H4350">
            <v>99890200</v>
          </cell>
        </row>
        <row r="4402">
          <cell r="H4402">
            <v>39090200</v>
          </cell>
        </row>
        <row r="4421">
          <cell r="H4421">
            <v>800000</v>
          </cell>
        </row>
        <row r="4429">
          <cell r="H4429">
            <v>116415810</v>
          </cell>
        </row>
        <row r="4431">
          <cell r="Z4431">
            <v>132416044</v>
          </cell>
        </row>
        <row r="4491">
          <cell r="H4491">
            <v>930475314</v>
          </cell>
        </row>
        <row r="4493">
          <cell r="Y4493">
            <v>1147808427</v>
          </cell>
        </row>
        <row r="4498">
          <cell r="H4498">
            <v>227623</v>
          </cell>
        </row>
        <row r="4499">
          <cell r="H4499">
            <v>227623</v>
          </cell>
        </row>
        <row r="4563">
          <cell r="H4563">
            <v>1000000</v>
          </cell>
        </row>
        <row r="4565">
          <cell r="H4565">
            <v>179936</v>
          </cell>
        </row>
        <row r="4566">
          <cell r="H4566">
            <v>179936</v>
          </cell>
        </row>
        <row r="4567">
          <cell r="H4567">
            <v>208920</v>
          </cell>
        </row>
        <row r="4581">
          <cell r="H4581">
            <v>537808</v>
          </cell>
        </row>
        <row r="4582">
          <cell r="H4582">
            <v>179936</v>
          </cell>
        </row>
        <row r="4592">
          <cell r="H4592">
            <v>553000</v>
          </cell>
        </row>
        <row r="4593">
          <cell r="H4593">
            <v>355872</v>
          </cell>
        </row>
        <row r="4595">
          <cell r="H4595">
            <v>1463749</v>
          </cell>
        </row>
        <row r="4596">
          <cell r="H4596">
            <v>208920</v>
          </cell>
        </row>
        <row r="4623">
          <cell r="H4623">
            <v>8623311</v>
          </cell>
        </row>
        <row r="4625">
          <cell r="AG4625">
            <v>8623311</v>
          </cell>
        </row>
        <row r="4647">
          <cell r="H4647">
            <v>695628108</v>
          </cell>
        </row>
        <row r="4649">
          <cell r="AG4649">
            <v>480782044</v>
          </cell>
        </row>
        <row r="4780">
          <cell r="H4780">
            <v>46993332</v>
          </cell>
        </row>
        <row r="4797">
          <cell r="H4797">
            <v>5150000</v>
          </cell>
        </row>
        <row r="4799">
          <cell r="Z4799">
            <v>5150000</v>
          </cell>
        </row>
        <row r="4808">
          <cell r="H4808">
            <v>3180000</v>
          </cell>
        </row>
        <row r="4810">
          <cell r="Z4810">
            <v>3180000</v>
          </cell>
        </row>
        <row r="4819">
          <cell r="H4819">
            <v>177310759</v>
          </cell>
        </row>
        <row r="4821">
          <cell r="K4821">
            <v>175738782</v>
          </cell>
        </row>
        <row r="4822">
          <cell r="H4822">
            <v>1720000</v>
          </cell>
        </row>
        <row r="4825">
          <cell r="H4825">
            <v>1084058</v>
          </cell>
        </row>
        <row r="4826">
          <cell r="H4826">
            <v>682500</v>
          </cell>
        </row>
        <row r="4827">
          <cell r="H4827">
            <v>7906464</v>
          </cell>
        </row>
        <row r="4846">
          <cell r="H4846">
            <v>2580480</v>
          </cell>
        </row>
        <row r="4851">
          <cell r="H4851">
            <v>860160</v>
          </cell>
        </row>
        <row r="4853">
          <cell r="H4853">
            <v>378000</v>
          </cell>
        </row>
        <row r="4854">
          <cell r="H4854">
            <v>1000000</v>
          </cell>
        </row>
        <row r="4855">
          <cell r="H4855">
            <v>603000</v>
          </cell>
        </row>
        <row r="4856">
          <cell r="H4856">
            <v>313855</v>
          </cell>
        </row>
        <row r="4857">
          <cell r="H4857">
            <v>480770</v>
          </cell>
        </row>
        <row r="4858">
          <cell r="H4858">
            <v>100000</v>
          </cell>
        </row>
        <row r="4859">
          <cell r="H4859">
            <v>921088</v>
          </cell>
        </row>
        <row r="4864">
          <cell r="H4864">
            <v>591360</v>
          </cell>
        </row>
        <row r="4868">
          <cell r="H4868">
            <v>240000</v>
          </cell>
        </row>
        <row r="4869">
          <cell r="H4869">
            <v>915000</v>
          </cell>
        </row>
        <row r="4870">
          <cell r="H4870">
            <v>591360</v>
          </cell>
        </row>
        <row r="4873">
          <cell r="H4873">
            <v>200000</v>
          </cell>
        </row>
        <row r="4874">
          <cell r="H4874">
            <v>304500</v>
          </cell>
        </row>
        <row r="4875">
          <cell r="H4875">
            <v>937945</v>
          </cell>
        </row>
        <row r="4932">
          <cell r="H4932">
            <v>250000</v>
          </cell>
        </row>
        <row r="4933">
          <cell r="H4933">
            <v>1786000</v>
          </cell>
        </row>
        <row r="4934">
          <cell r="H4934">
            <v>1299996</v>
          </cell>
        </row>
        <row r="4936">
          <cell r="H4936">
            <v>268800</v>
          </cell>
        </row>
        <row r="4937">
          <cell r="H4937">
            <v>1548000</v>
          </cell>
        </row>
        <row r="4938">
          <cell r="H4938">
            <v>240385</v>
          </cell>
        </row>
        <row r="4939">
          <cell r="H4939">
            <v>409200</v>
          </cell>
        </row>
        <row r="4959">
          <cell r="H4959">
            <v>1000000</v>
          </cell>
        </row>
        <row r="5041">
          <cell r="H5041">
            <v>85217</v>
          </cell>
        </row>
        <row r="5206">
          <cell r="AB5206">
            <v>38365561</v>
          </cell>
        </row>
        <row r="5272">
          <cell r="H5272">
            <v>289653876</v>
          </cell>
        </row>
        <row r="5274">
          <cell r="K5274">
            <v>194283656</v>
          </cell>
          <cell r="AB5274">
            <v>36800000</v>
          </cell>
        </row>
        <row r="5275">
          <cell r="H5275">
            <v>148798382</v>
          </cell>
        </row>
        <row r="5294">
          <cell r="H5294">
            <v>21193656</v>
          </cell>
        </row>
        <row r="5301">
          <cell r="H5301">
            <v>10572692</v>
          </cell>
        </row>
        <row r="5305">
          <cell r="H5305">
            <v>401246</v>
          </cell>
        </row>
        <row r="5307">
          <cell r="H5307">
            <v>401246</v>
          </cell>
        </row>
        <row r="5309">
          <cell r="H5309">
            <v>3710000</v>
          </cell>
        </row>
        <row r="5311">
          <cell r="H5311">
            <v>400000</v>
          </cell>
        </row>
        <row r="5315">
          <cell r="H5315">
            <v>300000</v>
          </cell>
        </row>
        <row r="5316">
          <cell r="H5316">
            <v>49696663</v>
          </cell>
        </row>
        <row r="5325">
          <cell r="H5325">
            <v>7999996</v>
          </cell>
        </row>
        <row r="5332">
          <cell r="H5332">
            <v>7999998</v>
          </cell>
        </row>
        <row r="5335">
          <cell r="H5335">
            <v>21529997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9"/>
    </sheetNames>
    <sheetDataSet>
      <sheetData sheetId="0">
        <row r="18">
          <cell r="Q18">
            <v>34069700</v>
          </cell>
        </row>
        <row r="31">
          <cell r="W31">
            <v>23000000</v>
          </cell>
          <cell r="X31">
            <v>20000000</v>
          </cell>
        </row>
        <row r="73">
          <cell r="X73">
            <v>50000000</v>
          </cell>
        </row>
        <row r="161">
          <cell r="H161">
            <v>226918964</v>
          </cell>
        </row>
        <row r="163">
          <cell r="H163">
            <v>300000000</v>
          </cell>
        </row>
        <row r="412">
          <cell r="K412">
            <v>180000000</v>
          </cell>
          <cell r="AB412">
            <v>167968376</v>
          </cell>
        </row>
        <row r="1191">
          <cell r="AF1191">
            <v>570042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9"/>
    </sheetNames>
    <sheetDataSet>
      <sheetData sheetId="0">
        <row r="18">
          <cell r="W18">
            <v>32159883</v>
          </cell>
        </row>
        <row r="19">
          <cell r="H19">
            <v>13566000</v>
          </cell>
        </row>
        <row r="21">
          <cell r="H21">
            <v>20632978</v>
          </cell>
        </row>
        <row r="23">
          <cell r="H23">
            <v>65116800</v>
          </cell>
        </row>
        <row r="27">
          <cell r="H27">
            <v>32998700</v>
          </cell>
        </row>
        <row r="31">
          <cell r="H31">
            <v>36180836</v>
          </cell>
        </row>
        <row r="35">
          <cell r="H35">
            <v>450371528</v>
          </cell>
        </row>
        <row r="39">
          <cell r="H39">
            <v>32159883</v>
          </cell>
        </row>
        <row r="45">
          <cell r="AE45">
            <v>34000000</v>
          </cell>
        </row>
        <row r="58">
          <cell r="H58">
            <v>54907320</v>
          </cell>
        </row>
        <row r="136">
          <cell r="H136">
            <v>38135657</v>
          </cell>
        </row>
        <row r="158">
          <cell r="H158">
            <v>3000000</v>
          </cell>
        </row>
        <row r="160">
          <cell r="H160">
            <v>20000000</v>
          </cell>
        </row>
        <row r="572">
          <cell r="AF572">
            <v>16000000</v>
          </cell>
        </row>
        <row r="683">
          <cell r="H683">
            <v>33780592</v>
          </cell>
        </row>
        <row r="685">
          <cell r="K685">
            <v>35000000</v>
          </cell>
        </row>
        <row r="717">
          <cell r="J717">
            <v>14000000</v>
          </cell>
        </row>
        <row r="746">
          <cell r="J746">
            <v>15000000</v>
          </cell>
        </row>
        <row r="776">
          <cell r="J776">
            <v>50137846</v>
          </cell>
        </row>
        <row r="855">
          <cell r="N855">
            <v>208000000</v>
          </cell>
          <cell r="Z855">
            <v>32712008</v>
          </cell>
        </row>
        <row r="1030">
          <cell r="J1030">
            <v>15000000</v>
          </cell>
        </row>
        <row r="1051">
          <cell r="J1051">
            <v>8000000</v>
          </cell>
        </row>
        <row r="1072">
          <cell r="J1072">
            <v>13000000</v>
          </cell>
        </row>
        <row r="1214">
          <cell r="AF1214">
            <v>28000000</v>
          </cell>
        </row>
        <row r="1244">
          <cell r="P1244">
            <v>8000000</v>
          </cell>
        </row>
        <row r="1256">
          <cell r="H1256">
            <v>7943538</v>
          </cell>
        </row>
        <row r="1312">
          <cell r="AC1312">
            <v>254320879</v>
          </cell>
        </row>
        <row r="1543">
          <cell r="H1543">
            <v>1770516</v>
          </cell>
        </row>
        <row r="1545">
          <cell r="H1545">
            <v>67311976</v>
          </cell>
        </row>
        <row r="1557">
          <cell r="H1557">
            <v>31999995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019"/>
    </sheetNames>
    <sheetDataSet>
      <sheetData sheetId="0">
        <row r="41">
          <cell r="H41">
            <v>16279200</v>
          </cell>
        </row>
        <row r="158">
          <cell r="AA158">
            <v>744901055</v>
          </cell>
        </row>
        <row r="164">
          <cell r="H164">
            <v>75577422</v>
          </cell>
        </row>
        <row r="166">
          <cell r="H166">
            <v>53746014</v>
          </cell>
        </row>
        <row r="170">
          <cell r="H170">
            <v>283993566</v>
          </cell>
        </row>
        <row r="174">
          <cell r="H174">
            <v>398764240</v>
          </cell>
        </row>
        <row r="187">
          <cell r="H187">
            <v>150510837</v>
          </cell>
        </row>
        <row r="210">
          <cell r="H210">
            <v>334153897</v>
          </cell>
        </row>
        <row r="216">
          <cell r="H216">
            <v>66000000</v>
          </cell>
        </row>
        <row r="219">
          <cell r="H219">
            <v>53407200</v>
          </cell>
        </row>
        <row r="222">
          <cell r="H222">
            <v>17306170</v>
          </cell>
        </row>
        <row r="225">
          <cell r="H225">
            <v>14040060</v>
          </cell>
        </row>
        <row r="228">
          <cell r="H228">
            <v>62143249</v>
          </cell>
        </row>
        <row r="231">
          <cell r="H231">
            <v>137818179</v>
          </cell>
        </row>
        <row r="321">
          <cell r="AA321">
            <v>59982000</v>
          </cell>
        </row>
        <row r="355">
          <cell r="H355">
            <v>1592473</v>
          </cell>
        </row>
        <row r="361">
          <cell r="H361">
            <v>62583333</v>
          </cell>
        </row>
        <row r="366">
          <cell r="H366">
            <v>10650000</v>
          </cell>
        </row>
        <row r="370">
          <cell r="Z370">
            <v>31956792</v>
          </cell>
        </row>
        <row r="392">
          <cell r="H392">
            <v>106710000</v>
          </cell>
        </row>
        <row r="443">
          <cell r="Y443">
            <v>30000000</v>
          </cell>
          <cell r="AG443">
            <v>232244043</v>
          </cell>
        </row>
        <row r="500">
          <cell r="H500">
            <v>29093333</v>
          </cell>
        </row>
        <row r="507">
          <cell r="H507">
            <v>10800000</v>
          </cell>
        </row>
        <row r="511">
          <cell r="H511">
            <v>5000000</v>
          </cell>
        </row>
        <row r="513">
          <cell r="H513">
            <v>7650000</v>
          </cell>
        </row>
        <row r="528">
          <cell r="H528">
            <v>5370000</v>
          </cell>
        </row>
        <row r="974">
          <cell r="H974">
            <v>13806666</v>
          </cell>
        </row>
        <row r="976">
          <cell r="AC976">
            <v>16000000</v>
          </cell>
        </row>
        <row r="987">
          <cell r="H987">
            <v>63761668</v>
          </cell>
        </row>
        <row r="1010">
          <cell r="H1010">
            <v>13761668</v>
          </cell>
        </row>
        <row r="1022">
          <cell r="H1022">
            <v>59970000</v>
          </cell>
        </row>
        <row r="1047">
          <cell r="H1047">
            <v>14970000</v>
          </cell>
        </row>
        <row r="1065">
          <cell r="AB1065">
            <v>73788955</v>
          </cell>
        </row>
        <row r="1134">
          <cell r="H1134">
            <v>11773334</v>
          </cell>
        </row>
        <row r="1142">
          <cell r="H1142">
            <v>27140002</v>
          </cell>
        </row>
        <row r="1157">
          <cell r="H1157">
            <v>3364512</v>
          </cell>
        </row>
        <row r="1158">
          <cell r="H1158">
            <v>7527626</v>
          </cell>
        </row>
        <row r="1171">
          <cell r="AB1171">
            <v>40000000</v>
          </cell>
          <cell r="AG1171">
            <v>12897241</v>
          </cell>
        </row>
        <row r="1172">
          <cell r="H1172">
            <v>147876671</v>
          </cell>
        </row>
        <row r="1233">
          <cell r="O1233">
            <v>58000000</v>
          </cell>
        </row>
        <row r="1265">
          <cell r="AG1265">
            <v>77107397</v>
          </cell>
        </row>
        <row r="1266">
          <cell r="H1266">
            <v>39994000</v>
          </cell>
        </row>
        <row r="1274">
          <cell r="H1274">
            <v>1010000</v>
          </cell>
        </row>
        <row r="1279">
          <cell r="H1279">
            <v>39997500</v>
          </cell>
        </row>
        <row r="1281">
          <cell r="H1281">
            <v>14460500</v>
          </cell>
        </row>
        <row r="1283">
          <cell r="H1283">
            <v>7702000</v>
          </cell>
        </row>
        <row r="1286">
          <cell r="H1286">
            <v>2298000</v>
          </cell>
        </row>
        <row r="1288">
          <cell r="H1288">
            <v>654500</v>
          </cell>
        </row>
        <row r="1291">
          <cell r="H1291">
            <v>6000</v>
          </cell>
        </row>
        <row r="1294">
          <cell r="H1294">
            <v>2282000</v>
          </cell>
        </row>
        <row r="1297">
          <cell r="H1297">
            <v>1941000</v>
          </cell>
        </row>
        <row r="1378">
          <cell r="H1378">
            <v>45000000</v>
          </cell>
        </row>
        <row r="1389">
          <cell r="H1389">
            <v>13946667</v>
          </cell>
        </row>
        <row r="1407">
          <cell r="L1407">
            <v>681816144</v>
          </cell>
        </row>
        <row r="1418">
          <cell r="H1418">
            <v>19600000</v>
          </cell>
        </row>
        <row r="1429">
          <cell r="H1429">
            <v>8126265</v>
          </cell>
        </row>
        <row r="1432">
          <cell r="H1432">
            <v>18316378</v>
          </cell>
        </row>
        <row r="1442">
          <cell r="H1442">
            <v>1957357</v>
          </cell>
        </row>
        <row r="1482">
          <cell r="Q1482">
            <v>376835867</v>
          </cell>
          <cell r="AB1482">
            <v>48981710</v>
          </cell>
        </row>
        <row r="1524">
          <cell r="AG1524">
            <v>16000000</v>
          </cell>
        </row>
        <row r="1681">
          <cell r="H1681">
            <v>27809393</v>
          </cell>
        </row>
        <row r="1683">
          <cell r="AB1683">
            <v>19870052</v>
          </cell>
        </row>
        <row r="1960">
          <cell r="AB1960">
            <v>3000000</v>
          </cell>
        </row>
        <row r="1972">
          <cell r="H1972">
            <v>900000</v>
          </cell>
        </row>
        <row r="1974">
          <cell r="Q1974">
            <v>900000</v>
          </cell>
        </row>
        <row r="1984">
          <cell r="H1984">
            <v>871475</v>
          </cell>
        </row>
        <row r="2011">
          <cell r="W2011">
            <v>7911500</v>
          </cell>
        </row>
        <row r="2093">
          <cell r="Q2093">
            <v>62184648</v>
          </cell>
        </row>
        <row r="2445">
          <cell r="H2445">
            <v>266500</v>
          </cell>
        </row>
        <row r="2447">
          <cell r="AB2447">
            <v>266500</v>
          </cell>
        </row>
        <row r="2922">
          <cell r="AG2922">
            <v>32582288</v>
          </cell>
        </row>
        <row r="2967">
          <cell r="Z2967">
            <v>20000000</v>
          </cell>
        </row>
        <row r="2981">
          <cell r="Z2981">
            <v>25000000</v>
          </cell>
        </row>
        <row r="2996">
          <cell r="Z2996">
            <v>6000000</v>
          </cell>
        </row>
        <row r="3048">
          <cell r="AF3048">
            <v>564330000</v>
          </cell>
        </row>
        <row r="3141">
          <cell r="H3141">
            <v>28000000</v>
          </cell>
        </row>
        <row r="3148">
          <cell r="H3148">
            <v>35000000</v>
          </cell>
        </row>
        <row r="3165">
          <cell r="H3165">
            <v>5000000</v>
          </cell>
        </row>
        <row r="3168">
          <cell r="H3168">
            <v>3000000</v>
          </cell>
        </row>
        <row r="3171">
          <cell r="H3171">
            <v>3000000</v>
          </cell>
        </row>
        <row r="3444">
          <cell r="H3444">
            <v>74364807</v>
          </cell>
        </row>
        <row r="3496">
          <cell r="K3496">
            <v>5000000</v>
          </cell>
        </row>
        <row r="3589">
          <cell r="H3589">
            <v>129681998</v>
          </cell>
        </row>
        <row r="3609">
          <cell r="H3609">
            <v>9973333</v>
          </cell>
        </row>
        <row r="3880">
          <cell r="H3880">
            <v>20000000</v>
          </cell>
        </row>
        <row r="4178">
          <cell r="AB4178">
            <v>50000000</v>
          </cell>
        </row>
        <row r="4246">
          <cell r="H4246">
            <v>10000000</v>
          </cell>
        </row>
        <row r="4265">
          <cell r="H4265">
            <v>51900000</v>
          </cell>
        </row>
        <row r="4283">
          <cell r="I4283">
            <v>5800005</v>
          </cell>
          <cell r="Z4283">
            <v>8000000</v>
          </cell>
        </row>
        <row r="4624">
          <cell r="H4624">
            <v>18376514</v>
          </cell>
        </row>
        <row r="4627">
          <cell r="H4627">
            <v>6623484</v>
          </cell>
        </row>
        <row r="4630">
          <cell r="H4630">
            <v>14993066</v>
          </cell>
        </row>
        <row r="4762">
          <cell r="H4762">
            <v>64034896</v>
          </cell>
        </row>
        <row r="4764">
          <cell r="AG4764">
            <v>84689324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9"/>
    </sheetNames>
    <sheetDataSet>
      <sheetData sheetId="0">
        <row r="1802">
          <cell r="X1802">
            <v>1778728458</v>
          </cell>
        </row>
        <row r="2109">
          <cell r="P2109">
            <v>46243827</v>
          </cell>
        </row>
        <row r="2254">
          <cell r="H2254">
            <v>20133333</v>
          </cell>
        </row>
        <row r="2274">
          <cell r="Y2274">
            <v>16000000</v>
          </cell>
        </row>
        <row r="2299">
          <cell r="H2299">
            <v>13066666</v>
          </cell>
        </row>
        <row r="2318">
          <cell r="M2318">
            <v>15205370</v>
          </cell>
        </row>
        <row r="2379">
          <cell r="M2379">
            <v>20000000</v>
          </cell>
        </row>
        <row r="2380">
          <cell r="H2380">
            <v>60400000</v>
          </cell>
        </row>
        <row r="2389">
          <cell r="H2389">
            <v>4115000</v>
          </cell>
        </row>
        <row r="2391">
          <cell r="H2391">
            <v>8600000</v>
          </cell>
        </row>
        <row r="2395">
          <cell r="H2395">
            <v>16000000</v>
          </cell>
        </row>
        <row r="2421">
          <cell r="M2421">
            <v>16000000</v>
          </cell>
        </row>
        <row r="2584">
          <cell r="K2584">
            <v>6000000</v>
          </cell>
          <cell r="Y2584">
            <v>4000000</v>
          </cell>
        </row>
        <row r="2585">
          <cell r="H2585">
            <v>4000000</v>
          </cell>
        </row>
        <row r="2589">
          <cell r="H2589">
            <v>3550000</v>
          </cell>
        </row>
        <row r="2604">
          <cell r="AF2604">
            <v>7200000</v>
          </cell>
        </row>
        <row r="2648">
          <cell r="Y2648">
            <v>25000000</v>
          </cell>
        </row>
        <row r="2704">
          <cell r="Y2704">
            <v>5000000</v>
          </cell>
        </row>
        <row r="2727">
          <cell r="Z2727">
            <v>10000000</v>
          </cell>
        </row>
        <row r="2745">
          <cell r="H2745">
            <v>9973333</v>
          </cell>
        </row>
        <row r="2753">
          <cell r="Z2753">
            <v>1666194</v>
          </cell>
        </row>
        <row r="3060">
          <cell r="AF3060">
            <v>7323323</v>
          </cell>
        </row>
        <row r="3187">
          <cell r="K3187">
            <v>120000000</v>
          </cell>
          <cell r="Y3187">
            <v>18000000</v>
          </cell>
        </row>
        <row r="3507">
          <cell r="K3507">
            <v>24999998</v>
          </cell>
        </row>
        <row r="3533">
          <cell r="H3533">
            <v>11000000</v>
          </cell>
        </row>
        <row r="3535">
          <cell r="Y3535">
            <v>11000000</v>
          </cell>
        </row>
        <row r="3541">
          <cell r="H3541">
            <v>48000000</v>
          </cell>
        </row>
        <row r="3568">
          <cell r="AF3568">
            <v>16988146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19"/>
    </sheetNames>
    <sheetDataSet>
      <sheetData sheetId="0">
        <row r="163">
          <cell r="Y163">
            <v>107000000</v>
          </cell>
        </row>
        <row r="235">
          <cell r="H235">
            <v>27384000</v>
          </cell>
        </row>
        <row r="1827">
          <cell r="H1827">
            <v>4991333</v>
          </cell>
        </row>
        <row r="2278">
          <cell r="Z2278">
            <v>100000000</v>
          </cell>
        </row>
        <row r="2604">
          <cell r="Z2604">
            <v>52565530</v>
          </cell>
        </row>
        <row r="2854">
          <cell r="K2854">
            <v>48000000</v>
          </cell>
        </row>
        <row r="2879">
          <cell r="Z2879">
            <v>50000000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 2019"/>
    </sheetNames>
    <sheetDataSet>
      <sheetData sheetId="0">
        <row r="138">
          <cell r="P138">
            <v>300000000</v>
          </cell>
        </row>
        <row r="156">
          <cell r="K156">
            <v>100000000</v>
          </cell>
        </row>
        <row r="225">
          <cell r="K225">
            <v>115000000</v>
          </cell>
        </row>
        <row r="399">
          <cell r="AB399">
            <v>15000000</v>
          </cell>
        </row>
        <row r="405">
          <cell r="AB405">
            <v>2313284</v>
          </cell>
        </row>
        <row r="411">
          <cell r="AB411">
            <v>10000000</v>
          </cell>
        </row>
        <row r="417">
          <cell r="AB417">
            <v>6000000</v>
          </cell>
        </row>
        <row r="440">
          <cell r="H440">
            <v>328965376</v>
          </cell>
        </row>
        <row r="1108">
          <cell r="Y1108">
            <v>15000000</v>
          </cell>
        </row>
        <row r="1158">
          <cell r="K1158">
            <v>80000000</v>
          </cell>
        </row>
        <row r="1172">
          <cell r="K1172">
            <v>12800000</v>
          </cell>
        </row>
        <row r="1183">
          <cell r="K1183">
            <v>39000000</v>
          </cell>
        </row>
        <row r="1704">
          <cell r="H1704">
            <v>39433571</v>
          </cell>
        </row>
        <row r="1706">
          <cell r="K1706">
            <v>39433571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9"/>
    </sheetNames>
    <sheetDataSet>
      <sheetData sheetId="0">
        <row r="25">
          <cell r="H25">
            <v>34069700</v>
          </cell>
        </row>
        <row r="29">
          <cell r="H29">
            <v>104969900</v>
          </cell>
        </row>
        <row r="80">
          <cell r="H80">
            <v>45956280</v>
          </cell>
        </row>
        <row r="125">
          <cell r="AF125">
            <v>4500000</v>
          </cell>
        </row>
        <row r="126">
          <cell r="H126">
            <v>280000</v>
          </cell>
        </row>
        <row r="322">
          <cell r="Y322">
            <v>42170000</v>
          </cell>
        </row>
        <row r="487">
          <cell r="AB487">
            <v>45000000</v>
          </cell>
        </row>
        <row r="617">
          <cell r="AB617">
            <v>49997500</v>
          </cell>
        </row>
        <row r="711">
          <cell r="AB711">
            <v>48000000</v>
          </cell>
        </row>
        <row r="904">
          <cell r="T904">
            <v>10000000</v>
          </cell>
        </row>
        <row r="1080">
          <cell r="P1080">
            <v>50000000</v>
          </cell>
          <cell r="AA1080">
            <v>100000000</v>
          </cell>
        </row>
        <row r="1107">
          <cell r="AA1107">
            <v>103698227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 2019"/>
    </sheetNames>
    <sheetDataSet>
      <sheetData sheetId="0">
        <row r="18">
          <cell r="P18">
            <v>151775814</v>
          </cell>
          <cell r="S18">
            <v>483370228</v>
          </cell>
        </row>
        <row r="49">
          <cell r="Q49">
            <v>99011214</v>
          </cell>
          <cell r="R49">
            <v>56474170</v>
          </cell>
          <cell r="S49">
            <v>54907320</v>
          </cell>
        </row>
        <row r="58">
          <cell r="H58">
            <v>63590670</v>
          </cell>
        </row>
        <row r="67">
          <cell r="H67">
            <v>8500000</v>
          </cell>
        </row>
        <row r="76">
          <cell r="H76">
            <v>19955896</v>
          </cell>
        </row>
        <row r="81">
          <cell r="H81">
            <v>26920544</v>
          </cell>
        </row>
        <row r="110">
          <cell r="Q110">
            <v>239000000</v>
          </cell>
          <cell r="AE110">
            <v>45956280</v>
          </cell>
        </row>
        <row r="137">
          <cell r="AE137">
            <v>123006604</v>
          </cell>
        </row>
        <row r="159">
          <cell r="H159">
            <v>29024945</v>
          </cell>
        </row>
        <row r="223">
          <cell r="V223">
            <v>28845816</v>
          </cell>
        </row>
        <row r="333">
          <cell r="O333">
            <v>236438964</v>
          </cell>
        </row>
        <row r="581">
          <cell r="H581">
            <v>40645000</v>
          </cell>
        </row>
        <row r="1069">
          <cell r="H1069">
            <v>13466666</v>
          </cell>
        </row>
        <row r="1091">
          <cell r="H1091">
            <v>2500000</v>
          </cell>
        </row>
        <row r="1107">
          <cell r="H1107">
            <v>70667056</v>
          </cell>
        </row>
        <row r="1117">
          <cell r="H1117">
            <v>1155268428</v>
          </cell>
        </row>
        <row r="1145">
          <cell r="AB1145">
            <v>85000000</v>
          </cell>
        </row>
        <row r="1163">
          <cell r="H1163">
            <v>15000000</v>
          </cell>
        </row>
        <row r="1202">
          <cell r="H1202">
            <v>39983334</v>
          </cell>
        </row>
        <row r="1208">
          <cell r="H1208">
            <v>12350000</v>
          </cell>
        </row>
        <row r="1223">
          <cell r="H1223">
            <v>12489050</v>
          </cell>
        </row>
        <row r="1506">
          <cell r="AA1506">
            <v>19997719</v>
          </cell>
        </row>
        <row r="1575">
          <cell r="H1575">
            <v>10000000</v>
          </cell>
        </row>
        <row r="2083">
          <cell r="AA2083">
            <v>159111624</v>
          </cell>
        </row>
        <row r="2263">
          <cell r="H2263">
            <v>23520775</v>
          </cell>
        </row>
        <row r="2265">
          <cell r="AA2265">
            <v>23520778</v>
          </cell>
        </row>
        <row r="2629">
          <cell r="K2629">
            <v>80000000</v>
          </cell>
        </row>
        <row r="2630">
          <cell r="H2630">
            <v>39260010</v>
          </cell>
        </row>
        <row r="2638">
          <cell r="H2638">
            <v>17300000</v>
          </cell>
        </row>
        <row r="2641">
          <cell r="H2641">
            <v>1000000</v>
          </cell>
        </row>
        <row r="2643">
          <cell r="H2643">
            <v>6000000</v>
          </cell>
        </row>
        <row r="2649">
          <cell r="H2649">
            <v>15439990</v>
          </cell>
        </row>
        <row r="2673">
          <cell r="H2673">
            <v>2959370</v>
          </cell>
        </row>
        <row r="2972">
          <cell r="H2972">
            <v>1500000</v>
          </cell>
        </row>
        <row r="2977">
          <cell r="H2977">
            <v>1700000</v>
          </cell>
        </row>
        <row r="2983">
          <cell r="H2983">
            <v>2200000</v>
          </cell>
        </row>
        <row r="3005">
          <cell r="H3005">
            <v>21500000</v>
          </cell>
        </row>
        <row r="3017">
          <cell r="H3017">
            <v>1750000</v>
          </cell>
        </row>
        <row r="3019">
          <cell r="H3019">
            <v>416558</v>
          </cell>
        </row>
        <row r="3020">
          <cell r="H3020">
            <v>3333000</v>
          </cell>
        </row>
        <row r="3021">
          <cell r="H3021">
            <v>1670200</v>
          </cell>
        </row>
        <row r="3028">
          <cell r="H3028">
            <v>3250442</v>
          </cell>
        </row>
        <row r="3052">
          <cell r="Y3052">
            <v>5000000</v>
          </cell>
        </row>
        <row r="3058">
          <cell r="Y3058">
            <v>5000000</v>
          </cell>
        </row>
        <row r="3064">
          <cell r="Y3064">
            <v>5000000</v>
          </cell>
        </row>
        <row r="3175">
          <cell r="H3175">
            <v>94200000</v>
          </cell>
        </row>
        <row r="3331">
          <cell r="AA3331">
            <v>20000000</v>
          </cell>
        </row>
        <row r="3677">
          <cell r="H3677">
            <v>100000000</v>
          </cell>
        </row>
        <row r="3726">
          <cell r="K3726">
            <v>20000000</v>
          </cell>
        </row>
        <row r="3773">
          <cell r="Z3773">
            <v>29598160</v>
          </cell>
        </row>
        <row r="3983">
          <cell r="Y3983">
            <v>15000000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9"/>
    </sheetNames>
    <sheetDataSet>
      <sheetData sheetId="0">
        <row r="26">
          <cell r="V26">
            <v>3567404</v>
          </cell>
        </row>
        <row r="29">
          <cell r="H29">
            <v>3567404</v>
          </cell>
        </row>
        <row r="159">
          <cell r="Y159">
            <v>27000000</v>
          </cell>
        </row>
        <row r="965">
          <cell r="K965">
            <v>80000000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9"/>
    </sheetNames>
    <sheetDataSet>
      <sheetData sheetId="0">
        <row r="70">
          <cell r="K70">
            <v>258340125</v>
          </cell>
        </row>
        <row r="154">
          <cell r="AF154">
            <v>9000000</v>
          </cell>
        </row>
        <row r="198">
          <cell r="AB198">
            <v>50000000</v>
          </cell>
        </row>
        <row r="303">
          <cell r="J303">
            <v>328965376</v>
          </cell>
        </row>
        <row r="344">
          <cell r="AB344">
            <v>40000000</v>
          </cell>
        </row>
        <row r="443">
          <cell r="Y443">
            <v>90000000</v>
          </cell>
        </row>
        <row r="943">
          <cell r="K943">
            <v>75000000</v>
          </cell>
        </row>
        <row r="1160">
          <cell r="H1160">
            <v>10051963</v>
          </cell>
        </row>
        <row r="1162">
          <cell r="Y1162">
            <v>10066667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F167"/>
  <sheetViews>
    <sheetView showGridLines="0" zoomScaleNormal="100" zoomScalePageLayoutView="50" workbookViewId="0">
      <pane xSplit="3" ySplit="3" topLeftCell="D4" activePane="bottomRight" state="frozen"/>
      <selection activeCell="Z102" sqref="Z102"/>
      <selection pane="topRight" activeCell="Z102" sqref="Z102"/>
      <selection pane="bottomLeft" activeCell="Z102" sqref="Z102"/>
      <selection pane="bottomRight" activeCell="AF7" sqref="AF7"/>
    </sheetView>
  </sheetViews>
  <sheetFormatPr baseColWidth="10" defaultRowHeight="14.4" x14ac:dyDescent="0.3"/>
  <cols>
    <col min="1" max="1" width="4.88671875" hidden="1" customWidth="1"/>
    <col min="2" max="2" width="36.21875" hidden="1" customWidth="1"/>
    <col min="3" max="3" width="9" customWidth="1"/>
    <col min="4" max="4" width="46.21875" customWidth="1"/>
    <col min="5" max="5" width="7" customWidth="1"/>
    <col min="6" max="6" width="13.109375" hidden="1" customWidth="1"/>
    <col min="7" max="7" width="14.21875" customWidth="1"/>
    <col min="8" max="8" width="12.109375" hidden="1" customWidth="1"/>
    <col min="9" max="9" width="13.44140625" hidden="1" customWidth="1"/>
    <col min="10" max="10" width="12" hidden="1" customWidth="1"/>
    <col min="11" max="11" width="12.77734375" hidden="1" customWidth="1"/>
    <col min="12" max="12" width="14" hidden="1" customWidth="1"/>
    <col min="13" max="14" width="12.33203125" hidden="1" customWidth="1"/>
    <col min="15" max="15" width="12.88671875" hidden="1" customWidth="1"/>
    <col min="16" max="16" width="12.44140625" hidden="1" customWidth="1"/>
    <col min="17" max="17" width="11" hidden="1" customWidth="1"/>
    <col min="18" max="18" width="11.44140625" hidden="1" customWidth="1"/>
    <col min="19" max="19" width="12" hidden="1" customWidth="1"/>
    <col min="20" max="21" width="11.109375" hidden="1" customWidth="1"/>
    <col min="22" max="22" width="11.6640625" hidden="1" customWidth="1"/>
    <col min="23" max="23" width="12.5546875" hidden="1" customWidth="1"/>
    <col min="24" max="24" width="12.33203125" hidden="1" customWidth="1"/>
    <col min="25" max="25" width="12.77734375" hidden="1" customWidth="1"/>
    <col min="26" max="26" width="13.109375" hidden="1" customWidth="1"/>
    <col min="27" max="27" width="12.6640625" hidden="1" customWidth="1"/>
    <col min="28" max="28" width="11.44140625" hidden="1" customWidth="1"/>
    <col min="29" max="29" width="12.44140625" hidden="1" customWidth="1"/>
    <col min="30" max="30" width="12.77734375" hidden="1" customWidth="1"/>
    <col min="31" max="31" width="8.33203125" hidden="1" customWidth="1"/>
    <col min="32" max="32" width="14.6640625" customWidth="1"/>
    <col min="33" max="33" width="13.5546875" customWidth="1"/>
    <col min="34" max="35" width="14" customWidth="1"/>
    <col min="36" max="36" width="11.6640625" customWidth="1"/>
    <col min="37" max="37" width="13.21875" customWidth="1"/>
    <col min="38" max="38" width="12.44140625" customWidth="1"/>
    <col min="39" max="39" width="12.109375" customWidth="1"/>
    <col min="40" max="40" width="12.44140625" customWidth="1"/>
    <col min="41" max="42" width="15" customWidth="1"/>
    <col min="43" max="43" width="11.6640625" customWidth="1"/>
    <col min="44" max="44" width="13.33203125" customWidth="1"/>
    <col min="45" max="45" width="12.5546875" customWidth="1"/>
    <col min="46" max="47" width="14.109375" customWidth="1"/>
    <col min="48" max="48" width="13.5546875" customWidth="1"/>
    <col min="49" max="49" width="13.44140625" customWidth="1"/>
    <col min="50" max="50" width="13" customWidth="1"/>
    <col min="51" max="52" width="13.44140625" customWidth="1"/>
    <col min="53" max="54" width="15.5546875" customWidth="1"/>
    <col min="55" max="55" width="13.88671875" customWidth="1"/>
    <col min="56" max="56" width="9" hidden="1" customWidth="1"/>
    <col min="57" max="57" width="14.88671875" hidden="1" customWidth="1"/>
    <col min="58" max="58" width="14.5546875" hidden="1" customWidth="1"/>
    <col min="59" max="59" width="16.5546875" hidden="1" customWidth="1"/>
    <col min="60" max="60" width="13.6640625" hidden="1" customWidth="1"/>
    <col min="61" max="61" width="14" hidden="1" customWidth="1"/>
    <col min="62" max="67" width="16.5546875" hidden="1" customWidth="1"/>
    <col min="68" max="68" width="15" hidden="1" customWidth="1"/>
    <col min="69" max="70" width="14.44140625" hidden="1" customWidth="1"/>
    <col min="71" max="71" width="16.5546875" hidden="1" customWidth="1"/>
    <col min="72" max="72" width="13.33203125" hidden="1" customWidth="1"/>
    <col min="73" max="73" width="13.44140625" hidden="1" customWidth="1"/>
    <col min="74" max="74" width="12.88671875" hidden="1" customWidth="1"/>
    <col min="75" max="79" width="16.5546875" hidden="1" customWidth="1"/>
    <col min="80" max="80" width="14" hidden="1" customWidth="1"/>
    <col min="81" max="81" width="10.33203125" hidden="1" customWidth="1"/>
    <col min="82" max="82" width="14.6640625" customWidth="1"/>
    <col min="83" max="83" width="12.33203125" customWidth="1"/>
    <col min="84" max="86" width="13.33203125" customWidth="1"/>
    <col min="87" max="88" width="14" customWidth="1"/>
    <col min="89" max="89" width="15.44140625" customWidth="1"/>
    <col min="90" max="92" width="13.5546875" customWidth="1"/>
    <col min="93" max="93" width="11.6640625" customWidth="1"/>
    <col min="94" max="94" width="13.44140625" customWidth="1"/>
    <col min="95" max="95" width="15.6640625" customWidth="1"/>
    <col min="96" max="97" width="16.33203125" customWidth="1"/>
    <col min="98" max="98" width="13.6640625" customWidth="1"/>
    <col min="99" max="99" width="13" customWidth="1"/>
    <col min="100" max="101" width="14.33203125" customWidth="1"/>
    <col min="102" max="102" width="13.6640625" customWidth="1"/>
    <col min="103" max="104" width="12.33203125" customWidth="1"/>
    <col min="105" max="105" width="13.44140625" customWidth="1"/>
    <col min="106" max="106" width="9.6640625" customWidth="1"/>
    <col min="107" max="107" width="15" customWidth="1"/>
    <col min="108" max="108" width="13.6640625" customWidth="1"/>
    <col min="109" max="109" width="14.44140625" customWidth="1"/>
    <col min="110" max="110" width="12.88671875" customWidth="1"/>
    <col min="111" max="111" width="14" customWidth="1"/>
    <col min="112" max="113" width="15.5546875" customWidth="1"/>
    <col min="114" max="114" width="14.44140625" customWidth="1"/>
    <col min="115" max="115" width="12.6640625" customWidth="1"/>
    <col min="116" max="117" width="13.5546875" customWidth="1"/>
    <col min="118" max="119" width="13.88671875" customWidth="1"/>
    <col min="120" max="120" width="13.6640625" customWidth="1"/>
    <col min="121" max="123" width="13.88671875" customWidth="1"/>
    <col min="124" max="124" width="13.33203125" customWidth="1"/>
    <col min="125" max="126" width="14.44140625" customWidth="1"/>
    <col min="127" max="127" width="14.88671875" customWidth="1"/>
    <col min="128" max="129" width="14.33203125" customWidth="1"/>
    <col min="130" max="130" width="13.5546875" customWidth="1"/>
    <col min="131" max="131" width="5.109375" customWidth="1"/>
    <col min="132" max="134" width="14.6640625" customWidth="1"/>
    <col min="135" max="135" width="2.109375" customWidth="1"/>
    <col min="136" max="136" width="17.44140625" customWidth="1"/>
    <col min="137" max="162" width="11.44140625" customWidth="1"/>
  </cols>
  <sheetData>
    <row r="1" spans="1:134" ht="15" hidden="1" customHeight="1" x14ac:dyDescent="0.35">
      <c r="C1" s="261" t="s">
        <v>416</v>
      </c>
      <c r="D1" s="262"/>
      <c r="E1" s="262"/>
      <c r="F1" s="263"/>
      <c r="G1" s="264" t="s">
        <v>415</v>
      </c>
      <c r="H1" s="265"/>
      <c r="I1" s="265"/>
      <c r="J1" s="265"/>
      <c r="K1" s="265"/>
      <c r="L1" s="265"/>
      <c r="M1" s="265"/>
      <c r="N1" s="265"/>
      <c r="O1" s="265"/>
      <c r="P1" s="265"/>
      <c r="Q1" s="265"/>
      <c r="R1" s="265"/>
      <c r="S1" s="265"/>
      <c r="T1" s="265"/>
      <c r="U1" s="265"/>
      <c r="V1" s="265"/>
      <c r="W1" s="265"/>
      <c r="X1" s="265"/>
      <c r="Y1" s="265"/>
      <c r="Z1" s="265"/>
      <c r="AA1" s="265"/>
      <c r="AB1" s="265"/>
      <c r="AC1" s="265"/>
      <c r="AD1" s="266"/>
      <c r="AE1" s="159"/>
      <c r="AF1" s="267" t="s">
        <v>414</v>
      </c>
      <c r="AG1" s="268"/>
      <c r="AH1" s="268"/>
      <c r="AI1" s="268"/>
      <c r="AJ1" s="268"/>
      <c r="AK1" s="268"/>
      <c r="AL1" s="268"/>
      <c r="AM1" s="268"/>
      <c r="AN1" s="268"/>
      <c r="AO1" s="268"/>
      <c r="AP1" s="268"/>
      <c r="AQ1" s="268"/>
      <c r="AR1" s="268"/>
      <c r="AS1" s="268"/>
      <c r="AT1" s="268"/>
      <c r="AU1" s="268"/>
      <c r="AV1" s="268"/>
      <c r="AW1" s="268"/>
      <c r="AX1" s="268"/>
      <c r="AY1" s="268"/>
      <c r="AZ1" s="268"/>
      <c r="BA1" s="268"/>
      <c r="BB1" s="268"/>
      <c r="BC1" s="269"/>
      <c r="BD1" s="157"/>
      <c r="BE1" s="158"/>
      <c r="BF1" s="259" t="s">
        <v>413</v>
      </c>
      <c r="BG1" s="260"/>
      <c r="BH1" s="260"/>
      <c r="BI1" s="260"/>
      <c r="BJ1" s="260"/>
      <c r="BK1" s="260"/>
      <c r="BL1" s="260"/>
      <c r="BM1" s="260"/>
      <c r="BN1" s="260"/>
      <c r="BO1" s="260"/>
      <c r="BP1" s="260"/>
      <c r="BQ1" s="260"/>
      <c r="BR1" s="260"/>
      <c r="BS1" s="260"/>
      <c r="BT1" s="260"/>
      <c r="BU1" s="260"/>
      <c r="BV1" s="260"/>
      <c r="BW1" s="260"/>
      <c r="BX1" s="260"/>
      <c r="BY1" s="260"/>
      <c r="BZ1" s="260"/>
      <c r="CA1" s="260"/>
      <c r="CB1" s="260"/>
      <c r="CC1" s="270"/>
      <c r="CD1" s="267"/>
      <c r="CE1" s="260"/>
      <c r="CF1" s="260"/>
      <c r="CG1" s="260"/>
      <c r="CH1" s="260"/>
      <c r="CI1" s="260"/>
      <c r="CJ1" s="260"/>
      <c r="CK1" s="260"/>
      <c r="CL1" s="260"/>
      <c r="CM1" s="260"/>
      <c r="CN1" s="260"/>
      <c r="CO1" s="260"/>
      <c r="CP1" s="260"/>
      <c r="CQ1" s="260"/>
      <c r="CR1" s="260"/>
      <c r="CS1" s="260"/>
      <c r="CT1" s="260"/>
      <c r="CU1" s="260"/>
      <c r="CV1" s="260"/>
      <c r="CW1" s="260"/>
      <c r="CX1" s="260"/>
      <c r="CY1" s="260"/>
      <c r="CZ1" s="260"/>
      <c r="DA1" s="270"/>
      <c r="DB1" s="157"/>
      <c r="DC1" s="259" t="s">
        <v>413</v>
      </c>
      <c r="DD1" s="260"/>
      <c r="DE1" s="260"/>
      <c r="DF1" s="260"/>
      <c r="DG1" s="260"/>
      <c r="DH1" s="260"/>
      <c r="DI1" s="260"/>
      <c r="DJ1" s="260"/>
      <c r="DK1" s="260"/>
      <c r="DL1" s="260"/>
      <c r="DM1" s="260"/>
      <c r="DN1" s="260"/>
      <c r="DO1" s="260"/>
      <c r="DP1" s="260"/>
      <c r="DQ1" s="260"/>
      <c r="DR1" s="260"/>
      <c r="DS1" s="260"/>
      <c r="DT1" s="260"/>
      <c r="DU1" s="260"/>
      <c r="DV1" s="260"/>
      <c r="DW1" s="260"/>
      <c r="DX1" s="260"/>
      <c r="DY1" s="260"/>
      <c r="DZ1" s="260"/>
    </row>
    <row r="2" spans="1:134" ht="15" hidden="1" customHeight="1" x14ac:dyDescent="0.3">
      <c r="A2" s="257" t="s">
        <v>412</v>
      </c>
      <c r="B2" s="257" t="s">
        <v>411</v>
      </c>
      <c r="C2" s="257" t="s">
        <v>410</v>
      </c>
      <c r="D2" s="257" t="s">
        <v>409</v>
      </c>
      <c r="E2" s="258" t="s">
        <v>408</v>
      </c>
      <c r="F2" s="257" t="s">
        <v>407</v>
      </c>
      <c r="G2" s="255" t="s">
        <v>406</v>
      </c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255"/>
      <c r="AB2" s="255"/>
      <c r="AC2" s="255"/>
      <c r="AD2" s="255"/>
      <c r="AE2" s="152"/>
      <c r="AF2" s="252" t="s">
        <v>405</v>
      </c>
      <c r="AG2" s="253"/>
      <c r="AH2" s="253"/>
      <c r="AI2" s="253"/>
      <c r="AJ2" s="253"/>
      <c r="AK2" s="253"/>
      <c r="AL2" s="253"/>
      <c r="AM2" s="253"/>
      <c r="AN2" s="253"/>
      <c r="AO2" s="253"/>
      <c r="AP2" s="253"/>
      <c r="AQ2" s="253"/>
      <c r="AR2" s="253"/>
      <c r="AS2" s="253"/>
      <c r="AT2" s="253"/>
      <c r="AU2" s="253"/>
      <c r="AV2" s="253"/>
      <c r="AW2" s="253"/>
      <c r="AX2" s="253"/>
      <c r="AY2" s="253"/>
      <c r="AZ2" s="253"/>
      <c r="BA2" s="253"/>
      <c r="BB2" s="253"/>
      <c r="BC2" s="254"/>
      <c r="BD2" s="155"/>
      <c r="BE2" s="154"/>
      <c r="BF2" s="256" t="s">
        <v>403</v>
      </c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56" t="s">
        <v>403</v>
      </c>
      <c r="BS2" s="244"/>
      <c r="BT2" s="244"/>
      <c r="BU2" s="244"/>
      <c r="BV2" s="244"/>
      <c r="BW2" s="244"/>
      <c r="BX2" s="244"/>
      <c r="BY2" s="244"/>
      <c r="BZ2" s="244"/>
      <c r="CA2" s="244"/>
      <c r="CB2" s="245"/>
      <c r="CC2" s="153"/>
      <c r="CD2" s="152"/>
      <c r="CE2" s="252" t="s">
        <v>404</v>
      </c>
      <c r="CF2" s="253"/>
      <c r="CG2" s="253"/>
      <c r="CH2" s="253"/>
      <c r="CI2" s="253"/>
      <c r="CJ2" s="253"/>
      <c r="CK2" s="253"/>
      <c r="CL2" s="253"/>
      <c r="CM2" s="253"/>
      <c r="CN2" s="253"/>
      <c r="CO2" s="253"/>
      <c r="CP2" s="253"/>
      <c r="CQ2" s="253"/>
      <c r="CR2" s="150"/>
      <c r="CS2" s="150"/>
      <c r="CT2" s="253"/>
      <c r="CU2" s="253"/>
      <c r="CV2" s="253"/>
      <c r="CW2" s="253"/>
      <c r="CX2" s="253"/>
      <c r="CY2" s="253"/>
      <c r="CZ2" s="253"/>
      <c r="DA2" s="254"/>
      <c r="DB2" s="139"/>
      <c r="DC2" s="256" t="s">
        <v>403</v>
      </c>
      <c r="DD2" s="244"/>
      <c r="DE2" s="244"/>
      <c r="DF2" s="244"/>
      <c r="DG2" s="244"/>
      <c r="DH2" s="244"/>
      <c r="DI2" s="244"/>
      <c r="DJ2" s="244"/>
      <c r="DK2" s="244"/>
      <c r="DL2" s="244"/>
      <c r="DM2" s="244"/>
      <c r="DN2" s="244"/>
      <c r="DO2" s="244"/>
      <c r="DP2" s="244" t="s">
        <v>403</v>
      </c>
      <c r="DQ2" s="244"/>
      <c r="DR2" s="244"/>
      <c r="DS2" s="244"/>
      <c r="DT2" s="244"/>
      <c r="DU2" s="244"/>
      <c r="DV2" s="244"/>
      <c r="DW2" s="244"/>
      <c r="DX2" s="244"/>
      <c r="DY2" s="244"/>
      <c r="DZ2" s="245"/>
    </row>
    <row r="3" spans="1:134" s="138" customFormat="1" ht="37.799999999999997" customHeight="1" x14ac:dyDescent="0.25">
      <c r="A3" s="257"/>
      <c r="B3" s="257"/>
      <c r="C3" s="257"/>
      <c r="D3" s="257"/>
      <c r="E3" s="258"/>
      <c r="F3" s="257"/>
      <c r="G3" s="143" t="s">
        <v>400</v>
      </c>
      <c r="H3" s="143" t="s">
        <v>399</v>
      </c>
      <c r="I3" s="143" t="s">
        <v>398</v>
      </c>
      <c r="J3" s="143" t="s">
        <v>402</v>
      </c>
      <c r="K3" s="143" t="s">
        <v>396</v>
      </c>
      <c r="L3" s="143" t="s">
        <v>395</v>
      </c>
      <c r="M3" s="143" t="s">
        <v>394</v>
      </c>
      <c r="N3" s="143" t="s">
        <v>393</v>
      </c>
      <c r="O3" s="143" t="s">
        <v>392</v>
      </c>
      <c r="P3" s="143" t="s">
        <v>391</v>
      </c>
      <c r="Q3" s="143" t="s">
        <v>390</v>
      </c>
      <c r="R3" s="143" t="s">
        <v>389</v>
      </c>
      <c r="S3" s="143" t="s">
        <v>388</v>
      </c>
      <c r="T3" s="143" t="s">
        <v>387</v>
      </c>
      <c r="U3" s="143" t="s">
        <v>386</v>
      </c>
      <c r="V3" s="143" t="s">
        <v>385</v>
      </c>
      <c r="W3" s="143" t="s">
        <v>384</v>
      </c>
      <c r="X3" s="143" t="s">
        <v>383</v>
      </c>
      <c r="Y3" s="143" t="s">
        <v>382</v>
      </c>
      <c r="Z3" s="143" t="s">
        <v>381</v>
      </c>
      <c r="AA3" s="143" t="s">
        <v>380</v>
      </c>
      <c r="AB3" s="143" t="s">
        <v>379</v>
      </c>
      <c r="AC3" s="143" t="s">
        <v>378</v>
      </c>
      <c r="AD3" s="143" t="s">
        <v>377</v>
      </c>
      <c r="AE3" s="141" t="s">
        <v>401</v>
      </c>
      <c r="AF3" s="140" t="s">
        <v>400</v>
      </c>
      <c r="AG3" s="140" t="s">
        <v>399</v>
      </c>
      <c r="AH3" s="140" t="s">
        <v>398</v>
      </c>
      <c r="AI3" s="140" t="s">
        <v>402</v>
      </c>
      <c r="AJ3" s="140" t="s">
        <v>396</v>
      </c>
      <c r="AK3" s="140" t="s">
        <v>395</v>
      </c>
      <c r="AL3" s="140" t="s">
        <v>394</v>
      </c>
      <c r="AM3" s="140" t="s">
        <v>393</v>
      </c>
      <c r="AN3" s="140" t="s">
        <v>392</v>
      </c>
      <c r="AO3" s="140" t="s">
        <v>391</v>
      </c>
      <c r="AP3" s="140" t="s">
        <v>390</v>
      </c>
      <c r="AQ3" s="140" t="s">
        <v>389</v>
      </c>
      <c r="AR3" s="140" t="s">
        <v>388</v>
      </c>
      <c r="AS3" s="140" t="s">
        <v>387</v>
      </c>
      <c r="AT3" s="140" t="s">
        <v>386</v>
      </c>
      <c r="AU3" s="140" t="s">
        <v>385</v>
      </c>
      <c r="AV3" s="140" t="s">
        <v>384</v>
      </c>
      <c r="AW3" s="140" t="s">
        <v>383</v>
      </c>
      <c r="AX3" s="140" t="s">
        <v>382</v>
      </c>
      <c r="AY3" s="140" t="s">
        <v>381</v>
      </c>
      <c r="AZ3" s="140" t="s">
        <v>380</v>
      </c>
      <c r="BA3" s="140" t="s">
        <v>379</v>
      </c>
      <c r="BB3" s="140" t="s">
        <v>378</v>
      </c>
      <c r="BC3" s="140" t="s">
        <v>377</v>
      </c>
      <c r="BD3" s="142" t="s">
        <v>401</v>
      </c>
      <c r="BE3" s="139" t="s">
        <v>400</v>
      </c>
      <c r="BF3" s="139" t="s">
        <v>399</v>
      </c>
      <c r="BG3" s="139" t="s">
        <v>398</v>
      </c>
      <c r="BH3" s="139" t="s">
        <v>397</v>
      </c>
      <c r="BI3" s="139" t="s">
        <v>396</v>
      </c>
      <c r="BJ3" s="139" t="s">
        <v>395</v>
      </c>
      <c r="BK3" s="139" t="s">
        <v>394</v>
      </c>
      <c r="BL3" s="139" t="s">
        <v>393</v>
      </c>
      <c r="BM3" s="139" t="s">
        <v>392</v>
      </c>
      <c r="BN3" s="139" t="s">
        <v>391</v>
      </c>
      <c r="BO3" s="139" t="s">
        <v>390</v>
      </c>
      <c r="BP3" s="139" t="s">
        <v>389</v>
      </c>
      <c r="BQ3" s="139" t="s">
        <v>388</v>
      </c>
      <c r="BR3" s="139" t="s">
        <v>387</v>
      </c>
      <c r="BS3" s="139" t="s">
        <v>386</v>
      </c>
      <c r="BT3" s="139" t="s">
        <v>385</v>
      </c>
      <c r="BU3" s="139" t="s">
        <v>384</v>
      </c>
      <c r="BV3" s="139" t="s">
        <v>383</v>
      </c>
      <c r="BW3" s="139" t="s">
        <v>382</v>
      </c>
      <c r="BX3" s="139" t="s">
        <v>381</v>
      </c>
      <c r="BY3" s="139" t="s">
        <v>380</v>
      </c>
      <c r="BZ3" s="139" t="s">
        <v>379</v>
      </c>
      <c r="CA3" s="139" t="s">
        <v>378</v>
      </c>
      <c r="CB3" s="139" t="s">
        <v>377</v>
      </c>
      <c r="CC3" s="141" t="s">
        <v>401</v>
      </c>
      <c r="CD3" s="140" t="s">
        <v>400</v>
      </c>
      <c r="CE3" s="140" t="s">
        <v>399</v>
      </c>
      <c r="CF3" s="140" t="s">
        <v>398</v>
      </c>
      <c r="CG3" s="140" t="s">
        <v>397</v>
      </c>
      <c r="CH3" s="140" t="s">
        <v>396</v>
      </c>
      <c r="CI3" s="140" t="s">
        <v>395</v>
      </c>
      <c r="CJ3" s="140" t="s">
        <v>394</v>
      </c>
      <c r="CK3" s="140" t="s">
        <v>393</v>
      </c>
      <c r="CL3" s="140" t="s">
        <v>392</v>
      </c>
      <c r="CM3" s="140" t="s">
        <v>391</v>
      </c>
      <c r="CN3" s="140" t="s">
        <v>390</v>
      </c>
      <c r="CO3" s="140" t="s">
        <v>389</v>
      </c>
      <c r="CP3" s="140" t="s">
        <v>388</v>
      </c>
      <c r="CQ3" s="140" t="s">
        <v>387</v>
      </c>
      <c r="CR3" s="140" t="s">
        <v>386</v>
      </c>
      <c r="CS3" s="140" t="s">
        <v>385</v>
      </c>
      <c r="CT3" s="140" t="s">
        <v>384</v>
      </c>
      <c r="CU3" s="140" t="s">
        <v>383</v>
      </c>
      <c r="CV3" s="140" t="s">
        <v>382</v>
      </c>
      <c r="CW3" s="140" t="s">
        <v>381</v>
      </c>
      <c r="CX3" s="140" t="s">
        <v>380</v>
      </c>
      <c r="CY3" s="140" t="s">
        <v>379</v>
      </c>
      <c r="CZ3" s="140" t="s">
        <v>378</v>
      </c>
      <c r="DA3" s="140" t="s">
        <v>377</v>
      </c>
      <c r="DB3" s="139" t="s">
        <v>401</v>
      </c>
      <c r="DC3" s="139" t="s">
        <v>400</v>
      </c>
      <c r="DD3" s="139" t="s">
        <v>399</v>
      </c>
      <c r="DE3" s="139" t="s">
        <v>398</v>
      </c>
      <c r="DF3" s="139" t="s">
        <v>397</v>
      </c>
      <c r="DG3" s="139" t="s">
        <v>396</v>
      </c>
      <c r="DH3" s="139" t="s">
        <v>395</v>
      </c>
      <c r="DI3" s="139" t="s">
        <v>394</v>
      </c>
      <c r="DJ3" s="139" t="s">
        <v>393</v>
      </c>
      <c r="DK3" s="139" t="s">
        <v>392</v>
      </c>
      <c r="DL3" s="139" t="s">
        <v>391</v>
      </c>
      <c r="DM3" s="139" t="s">
        <v>390</v>
      </c>
      <c r="DN3" s="139" t="s">
        <v>389</v>
      </c>
      <c r="DO3" s="139" t="s">
        <v>388</v>
      </c>
      <c r="DP3" s="139" t="s">
        <v>387</v>
      </c>
      <c r="DQ3" s="139" t="s">
        <v>386</v>
      </c>
      <c r="DR3" s="139" t="s">
        <v>385</v>
      </c>
      <c r="DS3" s="139" t="s">
        <v>384</v>
      </c>
      <c r="DT3" s="139" t="s">
        <v>383</v>
      </c>
      <c r="DU3" s="139" t="s">
        <v>382</v>
      </c>
      <c r="DV3" s="139" t="s">
        <v>381</v>
      </c>
      <c r="DW3" s="139" t="s">
        <v>380</v>
      </c>
      <c r="DX3" s="139" t="s">
        <v>379</v>
      </c>
      <c r="DY3" s="139" t="s">
        <v>378</v>
      </c>
      <c r="DZ3" s="139" t="s">
        <v>377</v>
      </c>
      <c r="EB3" s="138" t="s">
        <v>376</v>
      </c>
      <c r="EC3" s="138" t="s">
        <v>375</v>
      </c>
      <c r="ED3" s="138" t="s">
        <v>374</v>
      </c>
    </row>
    <row r="4" spans="1:134" ht="44.4" customHeight="1" x14ac:dyDescent="0.3">
      <c r="A4" s="129" t="s">
        <v>373</v>
      </c>
      <c r="B4" s="246" t="s">
        <v>372</v>
      </c>
      <c r="C4" s="121" t="s">
        <v>371</v>
      </c>
      <c r="D4" s="71" t="s">
        <v>370</v>
      </c>
      <c r="E4" s="87">
        <v>510</v>
      </c>
      <c r="F4" s="67" t="s">
        <v>369</v>
      </c>
      <c r="G4" s="66">
        <f t="shared" ref="G4:G38" si="0">SUM(H4:AD4)</f>
        <v>71000000</v>
      </c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>
        <v>35000000</v>
      </c>
      <c r="Y4" s="66"/>
      <c r="Z4" s="66"/>
      <c r="AA4" s="66"/>
      <c r="AB4" s="66"/>
      <c r="AC4" s="66"/>
      <c r="AD4" s="66">
        <f>30000000+5000000+5000000-4000000</f>
        <v>36000000</v>
      </c>
      <c r="AE4" s="22">
        <f t="shared" ref="AE4:AE15" si="1">+AF4/G4</f>
        <v>0.95115883098591547</v>
      </c>
      <c r="AF4" s="66">
        <f t="shared" ref="AF4:AF15" si="2">SUM(AG4:BC4)</f>
        <v>67532277</v>
      </c>
      <c r="AG4" s="136"/>
      <c r="AH4" s="66"/>
      <c r="AI4" s="137"/>
      <c r="AJ4" s="137"/>
      <c r="AK4" s="136"/>
      <c r="AL4" s="136"/>
      <c r="AM4" s="66"/>
      <c r="AN4" s="21"/>
      <c r="AO4" s="21"/>
      <c r="AP4" s="21"/>
      <c r="AQ4" s="21"/>
      <c r="AR4" s="21"/>
      <c r="AS4" s="21"/>
      <c r="AT4" s="21"/>
      <c r="AU4" s="21"/>
      <c r="AV4" s="66"/>
      <c r="AW4" s="66">
        <f>+'[1]OCTUBRE 2019'!$Z$3304</f>
        <v>34949989</v>
      </c>
      <c r="AX4" s="66"/>
      <c r="AY4" s="66"/>
      <c r="AZ4" s="66"/>
      <c r="BA4" s="66"/>
      <c r="BB4" s="66"/>
      <c r="BC4" s="66">
        <f>+'[2]SEPTIEMBRE 2019'!$AG$2922</f>
        <v>32582288</v>
      </c>
      <c r="BD4" s="22">
        <f t="shared" ref="BD4:BD35" si="3">1-AE4</f>
        <v>4.8841169014084529E-2</v>
      </c>
      <c r="BE4" s="66">
        <f t="shared" ref="BE4:BE38" si="4">SUM(BF4:CB4)</f>
        <v>3467723</v>
      </c>
      <c r="BF4" s="66">
        <f t="shared" ref="BF4:BH8" si="5">H4-AG4</f>
        <v>0</v>
      </c>
      <c r="BG4" s="66">
        <f t="shared" si="5"/>
        <v>0</v>
      </c>
      <c r="BH4" s="66">
        <f t="shared" si="5"/>
        <v>0</v>
      </c>
      <c r="BI4" s="66"/>
      <c r="BJ4" s="66">
        <f t="shared" ref="BJ4:BS8" si="6">L4-AK4</f>
        <v>0</v>
      </c>
      <c r="BK4" s="66">
        <f t="shared" si="6"/>
        <v>0</v>
      </c>
      <c r="BL4" s="66">
        <f t="shared" si="6"/>
        <v>0</v>
      </c>
      <c r="BM4" s="66">
        <f t="shared" si="6"/>
        <v>0</v>
      </c>
      <c r="BN4" s="66">
        <f t="shared" si="6"/>
        <v>0</v>
      </c>
      <c r="BO4" s="66">
        <f t="shared" si="6"/>
        <v>0</v>
      </c>
      <c r="BP4" s="66">
        <f t="shared" si="6"/>
        <v>0</v>
      </c>
      <c r="BQ4" s="66">
        <f t="shared" si="6"/>
        <v>0</v>
      </c>
      <c r="BR4" s="66">
        <f t="shared" si="6"/>
        <v>0</v>
      </c>
      <c r="BS4" s="66">
        <f t="shared" si="6"/>
        <v>0</v>
      </c>
      <c r="BT4" s="66">
        <f t="shared" ref="BT4:BZ8" si="7">V4-AU4</f>
        <v>0</v>
      </c>
      <c r="BU4" s="66">
        <f t="shared" si="7"/>
        <v>0</v>
      </c>
      <c r="BV4" s="66">
        <f t="shared" si="7"/>
        <v>50011</v>
      </c>
      <c r="BW4" s="66">
        <f t="shared" si="7"/>
        <v>0</v>
      </c>
      <c r="BX4" s="66">
        <f t="shared" si="7"/>
        <v>0</v>
      </c>
      <c r="BY4" s="66">
        <f t="shared" si="7"/>
        <v>0</v>
      </c>
      <c r="BZ4" s="66">
        <f t="shared" si="7"/>
        <v>0</v>
      </c>
      <c r="CA4" s="66"/>
      <c r="CB4" s="66">
        <f>AD4-BC4</f>
        <v>3417712</v>
      </c>
      <c r="CC4" s="22">
        <f t="shared" ref="CC4:CC35" si="8">+CD4/G4</f>
        <v>0.94456436619718309</v>
      </c>
      <c r="CD4" s="66">
        <f t="shared" ref="CD4:CD38" si="9">SUM(CE4:DA4)</f>
        <v>67064070</v>
      </c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>
        <f>+'[1]OCTUBRE 2019'!$H$3305+'[1]OCTUBRE 2019'!$H$3317+'[1]OCTUBRE 2019'!$H$3318+'[1]OCTUBRE 2019'!$H$3319+'[1]OCTUBRE 2019'!$H$3320+'[1]OCTUBRE 2019'!$H$3321+'[1]OCTUBRE 2019'!$H$3328+'[1]OCTUBRE 2019'!$H$3338</f>
        <v>34934861</v>
      </c>
      <c r="CV4" s="66"/>
      <c r="CW4" s="66"/>
      <c r="CX4" s="66"/>
      <c r="CY4" s="66"/>
      <c r="CZ4" s="66"/>
      <c r="DA4" s="66">
        <f>+'[1]OCTUBRE 2019'!$H$3315+'[1]OCTUBRE 2019'!$H$3322+'[1]OCTUBRE 2019'!$H$3323+'[1]OCTUBRE 2019'!$H$3324+'[1]OCTUBRE 2019'!$H$3326+'[1]OCTUBRE 2019'!$H$3327+'[1]OCTUBRE 2019'!$H$3329+'[1]OCTUBRE 2019'!$H$3331+'[1]OCTUBRE 2019'!$H$3332+'[1]OCTUBRE 2019'!$H$3333+'[1]OCTUBRE 2019'!$H$3336+'[1]OCTUBRE 2019'!$H$3337</f>
        <v>32129209</v>
      </c>
      <c r="DB4" s="22">
        <f t="shared" ref="DB4:DB35" si="10">1-CC4</f>
        <v>5.5435633802816908E-2</v>
      </c>
      <c r="DC4" s="66">
        <f t="shared" ref="DC4:DC38" si="11">SUM(DD4:DZ4)</f>
        <v>3935930</v>
      </c>
      <c r="DD4" s="66">
        <f t="shared" ref="DD4:DD13" si="12">H4-CE4</f>
        <v>0</v>
      </c>
      <c r="DE4" s="66">
        <f t="shared" ref="DE4:DE13" si="13">I4-CF4</f>
        <v>0</v>
      </c>
      <c r="DF4" s="66">
        <f t="shared" ref="DF4:DF13" si="14">J4-CG4</f>
        <v>0</v>
      </c>
      <c r="DG4" s="66">
        <f t="shared" ref="DG4:DG13" si="15">K4-CH4</f>
        <v>0</v>
      </c>
      <c r="DH4" s="66">
        <f t="shared" ref="DH4:DH13" si="16">L4-CI4</f>
        <v>0</v>
      </c>
      <c r="DI4" s="66">
        <f t="shared" ref="DI4:DI13" si="17">M4-CJ4</f>
        <v>0</v>
      </c>
      <c r="DJ4" s="66">
        <f t="shared" ref="DJ4:DJ13" si="18">N4-CK4</f>
        <v>0</v>
      </c>
      <c r="DK4" s="66">
        <f t="shared" ref="DK4:DK13" si="19">O4-CL4</f>
        <v>0</v>
      </c>
      <c r="DL4" s="66">
        <f t="shared" ref="DL4:DL13" si="20">P4-CM4</f>
        <v>0</v>
      </c>
      <c r="DM4" s="66">
        <f t="shared" ref="DM4:DM13" si="21">Q4-CN4</f>
        <v>0</v>
      </c>
      <c r="DN4" s="66">
        <f t="shared" ref="DN4:DN13" si="22">R4-CO4</f>
        <v>0</v>
      </c>
      <c r="DO4" s="66">
        <f t="shared" ref="DO4:DO13" si="23">S4-CP4</f>
        <v>0</v>
      </c>
      <c r="DP4" s="66">
        <f t="shared" ref="DP4:DP13" si="24">T4-CQ4</f>
        <v>0</v>
      </c>
      <c r="DQ4" s="66">
        <f t="shared" ref="DQ4:DQ13" si="25">U4-CR4</f>
        <v>0</v>
      </c>
      <c r="DR4" s="66">
        <f t="shared" ref="DR4:DR13" si="26">V4-CS4</f>
        <v>0</v>
      </c>
      <c r="DS4" s="66">
        <f t="shared" ref="DS4:DS13" si="27">W4-CT4</f>
        <v>0</v>
      </c>
      <c r="DT4" s="66">
        <f t="shared" ref="DT4:DT13" si="28">X4-CU4</f>
        <v>65139</v>
      </c>
      <c r="DU4" s="66">
        <f t="shared" ref="DU4:DU13" si="29">Y4-CV4</f>
        <v>0</v>
      </c>
      <c r="DV4" s="66">
        <f t="shared" ref="DV4:DV13" si="30">Z4-CW4</f>
        <v>0</v>
      </c>
      <c r="DW4" s="66">
        <f t="shared" ref="DW4:DW13" si="31">AA4-CX4</f>
        <v>0</v>
      </c>
      <c r="DX4" s="66">
        <f t="shared" ref="DX4:DX13" si="32">AB4-CY4</f>
        <v>0</v>
      </c>
      <c r="DY4" s="66"/>
      <c r="DZ4" s="66">
        <f t="shared" ref="DZ4:DZ13" si="33">AD4-DA4</f>
        <v>3870791</v>
      </c>
      <c r="EB4" s="9">
        <f t="shared" ref="EB4:EB35" si="34">+G4</f>
        <v>71000000</v>
      </c>
      <c r="EC4" s="9">
        <f t="shared" ref="EC4:EC35" si="35">+AF4+BE4</f>
        <v>71000000</v>
      </c>
      <c r="ED4" s="9">
        <f t="shared" ref="ED4:ED35" si="36">+CD4+DC4</f>
        <v>71000000</v>
      </c>
    </row>
    <row r="5" spans="1:134" ht="60" customHeight="1" x14ac:dyDescent="0.3">
      <c r="A5" s="128"/>
      <c r="B5" s="247"/>
      <c r="C5" s="121" t="s">
        <v>368</v>
      </c>
      <c r="D5" s="71" t="s">
        <v>367</v>
      </c>
      <c r="E5" s="87">
        <v>510</v>
      </c>
      <c r="F5" s="67" t="s">
        <v>366</v>
      </c>
      <c r="G5" s="66">
        <f t="shared" si="0"/>
        <v>20000000</v>
      </c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>
        <v>20000000</v>
      </c>
      <c r="Y5" s="66"/>
      <c r="Z5" s="66"/>
      <c r="AA5" s="66"/>
      <c r="AB5" s="66"/>
      <c r="AC5" s="66"/>
      <c r="AD5" s="66"/>
      <c r="AE5" s="22">
        <f t="shared" si="1"/>
        <v>1</v>
      </c>
      <c r="AF5" s="66">
        <f t="shared" si="2"/>
        <v>20000000</v>
      </c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>
        <f>+'[2]SEPTIEMBRE 2019'!$Z$2967</f>
        <v>20000000</v>
      </c>
      <c r="AX5" s="66"/>
      <c r="AY5" s="66"/>
      <c r="AZ5" s="66"/>
      <c r="BA5" s="66"/>
      <c r="BB5" s="66"/>
      <c r="BC5" s="66"/>
      <c r="BD5" s="22">
        <f t="shared" si="3"/>
        <v>0</v>
      </c>
      <c r="BE5" s="66">
        <f t="shared" si="4"/>
        <v>0</v>
      </c>
      <c r="BF5" s="66">
        <f t="shared" si="5"/>
        <v>0</v>
      </c>
      <c r="BG5" s="66">
        <f t="shared" si="5"/>
        <v>0</v>
      </c>
      <c r="BH5" s="66">
        <f t="shared" si="5"/>
        <v>0</v>
      </c>
      <c r="BI5" s="66"/>
      <c r="BJ5" s="66">
        <f t="shared" si="6"/>
        <v>0</v>
      </c>
      <c r="BK5" s="66">
        <f t="shared" si="6"/>
        <v>0</v>
      </c>
      <c r="BL5" s="66">
        <f t="shared" si="6"/>
        <v>0</v>
      </c>
      <c r="BM5" s="66">
        <f t="shared" si="6"/>
        <v>0</v>
      </c>
      <c r="BN5" s="66">
        <f t="shared" si="6"/>
        <v>0</v>
      </c>
      <c r="BO5" s="66">
        <f t="shared" si="6"/>
        <v>0</v>
      </c>
      <c r="BP5" s="66">
        <f t="shared" si="6"/>
        <v>0</v>
      </c>
      <c r="BQ5" s="66">
        <f t="shared" si="6"/>
        <v>0</v>
      </c>
      <c r="BR5" s="66">
        <f t="shared" si="6"/>
        <v>0</v>
      </c>
      <c r="BS5" s="66">
        <f t="shared" si="6"/>
        <v>0</v>
      </c>
      <c r="BT5" s="66">
        <f t="shared" si="7"/>
        <v>0</v>
      </c>
      <c r="BU5" s="66">
        <f t="shared" si="7"/>
        <v>0</v>
      </c>
      <c r="BV5" s="66">
        <f t="shared" si="7"/>
        <v>0</v>
      </c>
      <c r="BW5" s="66">
        <f t="shared" si="7"/>
        <v>0</v>
      </c>
      <c r="BX5" s="66">
        <f t="shared" si="7"/>
        <v>0</v>
      </c>
      <c r="BY5" s="66">
        <f t="shared" si="7"/>
        <v>0</v>
      </c>
      <c r="BZ5" s="66">
        <f t="shared" si="7"/>
        <v>0</v>
      </c>
      <c r="CA5" s="66"/>
      <c r="CB5" s="66">
        <f>AD5-BC5</f>
        <v>0</v>
      </c>
      <c r="CC5" s="22">
        <f t="shared" si="8"/>
        <v>1</v>
      </c>
      <c r="CD5" s="66">
        <f t="shared" si="9"/>
        <v>20000000</v>
      </c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>
        <f>+'[1]OCTUBRE 2019'!$H$3347</f>
        <v>20000000</v>
      </c>
      <c r="CV5" s="66"/>
      <c r="CW5" s="66"/>
      <c r="CX5" s="66"/>
      <c r="CY5" s="66"/>
      <c r="CZ5" s="66"/>
      <c r="DA5" s="66"/>
      <c r="DB5" s="22">
        <f t="shared" si="10"/>
        <v>0</v>
      </c>
      <c r="DC5" s="66">
        <f t="shared" si="11"/>
        <v>0</v>
      </c>
      <c r="DD5" s="66">
        <f t="shared" si="12"/>
        <v>0</v>
      </c>
      <c r="DE5" s="66">
        <f t="shared" si="13"/>
        <v>0</v>
      </c>
      <c r="DF5" s="66">
        <f t="shared" si="14"/>
        <v>0</v>
      </c>
      <c r="DG5" s="66">
        <f t="shared" si="15"/>
        <v>0</v>
      </c>
      <c r="DH5" s="66">
        <f t="shared" si="16"/>
        <v>0</v>
      </c>
      <c r="DI5" s="66">
        <f t="shared" si="17"/>
        <v>0</v>
      </c>
      <c r="DJ5" s="66">
        <f t="shared" si="18"/>
        <v>0</v>
      </c>
      <c r="DK5" s="66">
        <f t="shared" si="19"/>
        <v>0</v>
      </c>
      <c r="DL5" s="66">
        <f t="shared" si="20"/>
        <v>0</v>
      </c>
      <c r="DM5" s="66">
        <f t="shared" si="21"/>
        <v>0</v>
      </c>
      <c r="DN5" s="66">
        <f t="shared" si="22"/>
        <v>0</v>
      </c>
      <c r="DO5" s="66">
        <f t="shared" si="23"/>
        <v>0</v>
      </c>
      <c r="DP5" s="66">
        <f t="shared" si="24"/>
        <v>0</v>
      </c>
      <c r="DQ5" s="66">
        <f t="shared" si="25"/>
        <v>0</v>
      </c>
      <c r="DR5" s="66">
        <f t="shared" si="26"/>
        <v>0</v>
      </c>
      <c r="DS5" s="66">
        <f t="shared" si="27"/>
        <v>0</v>
      </c>
      <c r="DT5" s="66">
        <f t="shared" si="28"/>
        <v>0</v>
      </c>
      <c r="DU5" s="66">
        <f t="shared" si="29"/>
        <v>0</v>
      </c>
      <c r="DV5" s="66">
        <f t="shared" si="30"/>
        <v>0</v>
      </c>
      <c r="DW5" s="66">
        <f t="shared" si="31"/>
        <v>0</v>
      </c>
      <c r="DX5" s="66">
        <f t="shared" si="32"/>
        <v>0</v>
      </c>
      <c r="DY5" s="66"/>
      <c r="DZ5" s="66">
        <f t="shared" si="33"/>
        <v>0</v>
      </c>
      <c r="EB5" s="9">
        <f t="shared" si="34"/>
        <v>20000000</v>
      </c>
      <c r="EC5" s="9">
        <f t="shared" si="35"/>
        <v>20000000</v>
      </c>
      <c r="ED5" s="9">
        <f t="shared" si="36"/>
        <v>20000000</v>
      </c>
    </row>
    <row r="6" spans="1:134" ht="32.4" customHeight="1" x14ac:dyDescent="0.3">
      <c r="A6" s="128"/>
      <c r="B6" s="247"/>
      <c r="C6" s="121" t="s">
        <v>365</v>
      </c>
      <c r="D6" s="71" t="s">
        <v>364</v>
      </c>
      <c r="E6" s="87">
        <v>510</v>
      </c>
      <c r="F6" s="67" t="s">
        <v>283</v>
      </c>
      <c r="G6" s="66">
        <f t="shared" si="0"/>
        <v>25000000</v>
      </c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>
        <v>25000000</v>
      </c>
      <c r="Y6" s="66"/>
      <c r="Z6" s="66"/>
      <c r="AA6" s="66"/>
      <c r="AB6" s="66"/>
      <c r="AC6" s="66"/>
      <c r="AD6" s="66"/>
      <c r="AE6" s="22">
        <f t="shared" si="1"/>
        <v>1</v>
      </c>
      <c r="AF6" s="66">
        <f t="shared" si="2"/>
        <v>25000000</v>
      </c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>
        <f>+'[2]SEPTIEMBRE 2019'!$Z$2981</f>
        <v>25000000</v>
      </c>
      <c r="AX6" s="66"/>
      <c r="AY6" s="66"/>
      <c r="AZ6" s="66"/>
      <c r="BA6" s="66"/>
      <c r="BB6" s="66"/>
      <c r="BC6" s="66"/>
      <c r="BD6" s="22">
        <f t="shared" si="3"/>
        <v>0</v>
      </c>
      <c r="BE6" s="66">
        <f t="shared" si="4"/>
        <v>0</v>
      </c>
      <c r="BF6" s="66">
        <f t="shared" si="5"/>
        <v>0</v>
      </c>
      <c r="BG6" s="66">
        <f t="shared" si="5"/>
        <v>0</v>
      </c>
      <c r="BH6" s="66">
        <f t="shared" si="5"/>
        <v>0</v>
      </c>
      <c r="BI6" s="66"/>
      <c r="BJ6" s="66">
        <f t="shared" si="6"/>
        <v>0</v>
      </c>
      <c r="BK6" s="66">
        <f t="shared" si="6"/>
        <v>0</v>
      </c>
      <c r="BL6" s="66">
        <f t="shared" si="6"/>
        <v>0</v>
      </c>
      <c r="BM6" s="66">
        <f t="shared" si="6"/>
        <v>0</v>
      </c>
      <c r="BN6" s="66">
        <f t="shared" si="6"/>
        <v>0</v>
      </c>
      <c r="BO6" s="66">
        <f t="shared" si="6"/>
        <v>0</v>
      </c>
      <c r="BP6" s="66">
        <f t="shared" si="6"/>
        <v>0</v>
      </c>
      <c r="BQ6" s="66">
        <f t="shared" si="6"/>
        <v>0</v>
      </c>
      <c r="BR6" s="66">
        <f t="shared" si="6"/>
        <v>0</v>
      </c>
      <c r="BS6" s="66">
        <f t="shared" si="6"/>
        <v>0</v>
      </c>
      <c r="BT6" s="66">
        <f t="shared" si="7"/>
        <v>0</v>
      </c>
      <c r="BU6" s="66">
        <f t="shared" si="7"/>
        <v>0</v>
      </c>
      <c r="BV6" s="66">
        <f t="shared" si="7"/>
        <v>0</v>
      </c>
      <c r="BW6" s="66">
        <f t="shared" si="7"/>
        <v>0</v>
      </c>
      <c r="BX6" s="66">
        <f t="shared" si="7"/>
        <v>0</v>
      </c>
      <c r="BY6" s="66">
        <f t="shared" si="7"/>
        <v>0</v>
      </c>
      <c r="BZ6" s="66">
        <f t="shared" si="7"/>
        <v>0</v>
      </c>
      <c r="CA6" s="66"/>
      <c r="CB6" s="66">
        <f>AD6-BC6</f>
        <v>0</v>
      </c>
      <c r="CC6" s="22">
        <f t="shared" si="8"/>
        <v>1</v>
      </c>
      <c r="CD6" s="66">
        <f t="shared" si="9"/>
        <v>25000000</v>
      </c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/>
      <c r="CR6" s="66"/>
      <c r="CS6" s="66"/>
      <c r="CT6" s="66"/>
      <c r="CU6" s="66">
        <f>+'[1]OCTUBRE 2019'!$H$3361</f>
        <v>25000000</v>
      </c>
      <c r="CV6" s="66"/>
      <c r="CW6" s="66"/>
      <c r="CX6" s="66"/>
      <c r="CY6" s="66"/>
      <c r="CZ6" s="66"/>
      <c r="DA6" s="66"/>
      <c r="DB6" s="22">
        <f t="shared" si="10"/>
        <v>0</v>
      </c>
      <c r="DC6" s="66">
        <f t="shared" si="11"/>
        <v>0</v>
      </c>
      <c r="DD6" s="66">
        <f t="shared" si="12"/>
        <v>0</v>
      </c>
      <c r="DE6" s="66">
        <f t="shared" si="13"/>
        <v>0</v>
      </c>
      <c r="DF6" s="66">
        <f t="shared" si="14"/>
        <v>0</v>
      </c>
      <c r="DG6" s="66">
        <f t="shared" si="15"/>
        <v>0</v>
      </c>
      <c r="DH6" s="66">
        <f t="shared" si="16"/>
        <v>0</v>
      </c>
      <c r="DI6" s="66">
        <f t="shared" si="17"/>
        <v>0</v>
      </c>
      <c r="DJ6" s="66">
        <f t="shared" si="18"/>
        <v>0</v>
      </c>
      <c r="DK6" s="66">
        <f t="shared" si="19"/>
        <v>0</v>
      </c>
      <c r="DL6" s="66">
        <f t="shared" si="20"/>
        <v>0</v>
      </c>
      <c r="DM6" s="66">
        <f t="shared" si="21"/>
        <v>0</v>
      </c>
      <c r="DN6" s="66">
        <f t="shared" si="22"/>
        <v>0</v>
      </c>
      <c r="DO6" s="66">
        <f t="shared" si="23"/>
        <v>0</v>
      </c>
      <c r="DP6" s="66">
        <f t="shared" si="24"/>
        <v>0</v>
      </c>
      <c r="DQ6" s="66">
        <f t="shared" si="25"/>
        <v>0</v>
      </c>
      <c r="DR6" s="66">
        <f t="shared" si="26"/>
        <v>0</v>
      </c>
      <c r="DS6" s="66">
        <f t="shared" si="27"/>
        <v>0</v>
      </c>
      <c r="DT6" s="66">
        <f t="shared" si="28"/>
        <v>0</v>
      </c>
      <c r="DU6" s="66">
        <f t="shared" si="29"/>
        <v>0</v>
      </c>
      <c r="DV6" s="66">
        <f t="shared" si="30"/>
        <v>0</v>
      </c>
      <c r="DW6" s="66">
        <f t="shared" si="31"/>
        <v>0</v>
      </c>
      <c r="DX6" s="66">
        <f t="shared" si="32"/>
        <v>0</v>
      </c>
      <c r="DY6" s="66"/>
      <c r="DZ6" s="66">
        <f t="shared" si="33"/>
        <v>0</v>
      </c>
      <c r="EB6" s="9">
        <f t="shared" si="34"/>
        <v>25000000</v>
      </c>
      <c r="EC6" s="9">
        <f t="shared" si="35"/>
        <v>25000000</v>
      </c>
      <c r="ED6" s="9">
        <f t="shared" si="36"/>
        <v>25000000</v>
      </c>
    </row>
    <row r="7" spans="1:134" ht="72.599999999999994" customHeight="1" x14ac:dyDescent="0.3">
      <c r="A7" s="128"/>
      <c r="B7" s="247"/>
      <c r="C7" s="121" t="s">
        <v>363</v>
      </c>
      <c r="D7" s="69" t="s">
        <v>362</v>
      </c>
      <c r="E7" s="87">
        <v>510</v>
      </c>
      <c r="F7" s="67" t="s">
        <v>283</v>
      </c>
      <c r="G7" s="66">
        <f t="shared" si="0"/>
        <v>6000000</v>
      </c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>
        <v>6000000</v>
      </c>
      <c r="Y7" s="66"/>
      <c r="Z7" s="66"/>
      <c r="AA7" s="66"/>
      <c r="AB7" s="66"/>
      <c r="AC7" s="66"/>
      <c r="AD7" s="66"/>
      <c r="AE7" s="22">
        <f t="shared" si="1"/>
        <v>1</v>
      </c>
      <c r="AF7" s="66">
        <f t="shared" si="2"/>
        <v>6000000</v>
      </c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>
        <f>+'[2]SEPTIEMBRE 2019'!$Z$2996</f>
        <v>6000000</v>
      </c>
      <c r="AX7" s="66"/>
      <c r="AY7" s="66"/>
      <c r="AZ7" s="66"/>
      <c r="BA7" s="66"/>
      <c r="BB7" s="66"/>
      <c r="BC7" s="66"/>
      <c r="BD7" s="22">
        <f t="shared" si="3"/>
        <v>0</v>
      </c>
      <c r="BE7" s="66">
        <f t="shared" si="4"/>
        <v>0</v>
      </c>
      <c r="BF7" s="66">
        <f t="shared" si="5"/>
        <v>0</v>
      </c>
      <c r="BG7" s="66">
        <f t="shared" si="5"/>
        <v>0</v>
      </c>
      <c r="BH7" s="66">
        <f t="shared" si="5"/>
        <v>0</v>
      </c>
      <c r="BI7" s="66"/>
      <c r="BJ7" s="66">
        <f t="shared" si="6"/>
        <v>0</v>
      </c>
      <c r="BK7" s="66">
        <f t="shared" si="6"/>
        <v>0</v>
      </c>
      <c r="BL7" s="66">
        <f t="shared" si="6"/>
        <v>0</v>
      </c>
      <c r="BM7" s="66">
        <f t="shared" si="6"/>
        <v>0</v>
      </c>
      <c r="BN7" s="66">
        <f t="shared" si="6"/>
        <v>0</v>
      </c>
      <c r="BO7" s="66">
        <f t="shared" si="6"/>
        <v>0</v>
      </c>
      <c r="BP7" s="66">
        <f t="shared" si="6"/>
        <v>0</v>
      </c>
      <c r="BQ7" s="66">
        <f t="shared" si="6"/>
        <v>0</v>
      </c>
      <c r="BR7" s="66">
        <f t="shared" si="6"/>
        <v>0</v>
      </c>
      <c r="BS7" s="66">
        <f t="shared" si="6"/>
        <v>0</v>
      </c>
      <c r="BT7" s="66">
        <f t="shared" si="7"/>
        <v>0</v>
      </c>
      <c r="BU7" s="66">
        <f t="shared" si="7"/>
        <v>0</v>
      </c>
      <c r="BV7" s="66">
        <f t="shared" si="7"/>
        <v>0</v>
      </c>
      <c r="BW7" s="66">
        <f t="shared" si="7"/>
        <v>0</v>
      </c>
      <c r="BX7" s="66">
        <f t="shared" si="7"/>
        <v>0</v>
      </c>
      <c r="BY7" s="66">
        <f t="shared" si="7"/>
        <v>0</v>
      </c>
      <c r="BZ7" s="66">
        <f t="shared" si="7"/>
        <v>0</v>
      </c>
      <c r="CA7" s="66"/>
      <c r="CB7" s="66">
        <f>AD7-BC7</f>
        <v>0</v>
      </c>
      <c r="CC7" s="22">
        <f t="shared" si="8"/>
        <v>0.66666666666666663</v>
      </c>
      <c r="CD7" s="66">
        <f t="shared" si="9"/>
        <v>4000000</v>
      </c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>
        <v>4000000</v>
      </c>
      <c r="CV7" s="66"/>
      <c r="CW7" s="66"/>
      <c r="CX7" s="66"/>
      <c r="CY7" s="66"/>
      <c r="CZ7" s="66"/>
      <c r="DA7" s="66"/>
      <c r="DB7" s="22">
        <f t="shared" si="10"/>
        <v>0.33333333333333337</v>
      </c>
      <c r="DC7" s="66">
        <f t="shared" si="11"/>
        <v>2000000</v>
      </c>
      <c r="DD7" s="66">
        <f t="shared" si="12"/>
        <v>0</v>
      </c>
      <c r="DE7" s="66">
        <f t="shared" si="13"/>
        <v>0</v>
      </c>
      <c r="DF7" s="66">
        <f t="shared" si="14"/>
        <v>0</v>
      </c>
      <c r="DG7" s="66">
        <f t="shared" si="15"/>
        <v>0</v>
      </c>
      <c r="DH7" s="66">
        <f t="shared" si="16"/>
        <v>0</v>
      </c>
      <c r="DI7" s="66">
        <f t="shared" si="17"/>
        <v>0</v>
      </c>
      <c r="DJ7" s="66">
        <f t="shared" si="18"/>
        <v>0</v>
      </c>
      <c r="DK7" s="66">
        <f t="shared" si="19"/>
        <v>0</v>
      </c>
      <c r="DL7" s="66">
        <f t="shared" si="20"/>
        <v>0</v>
      </c>
      <c r="DM7" s="66">
        <f t="shared" si="21"/>
        <v>0</v>
      </c>
      <c r="DN7" s="66">
        <f t="shared" si="22"/>
        <v>0</v>
      </c>
      <c r="DO7" s="66">
        <f t="shared" si="23"/>
        <v>0</v>
      </c>
      <c r="DP7" s="66">
        <f t="shared" si="24"/>
        <v>0</v>
      </c>
      <c r="DQ7" s="66">
        <f t="shared" si="25"/>
        <v>0</v>
      </c>
      <c r="DR7" s="66">
        <f t="shared" si="26"/>
        <v>0</v>
      </c>
      <c r="DS7" s="66">
        <f t="shared" si="27"/>
        <v>0</v>
      </c>
      <c r="DT7" s="66">
        <f t="shared" si="28"/>
        <v>2000000</v>
      </c>
      <c r="DU7" s="66">
        <f t="shared" si="29"/>
        <v>0</v>
      </c>
      <c r="DV7" s="66">
        <f t="shared" si="30"/>
        <v>0</v>
      </c>
      <c r="DW7" s="66">
        <f t="shared" si="31"/>
        <v>0</v>
      </c>
      <c r="DX7" s="66">
        <f t="shared" si="32"/>
        <v>0</v>
      </c>
      <c r="DY7" s="66"/>
      <c r="DZ7" s="66">
        <f t="shared" si="33"/>
        <v>0</v>
      </c>
      <c r="EB7" s="9">
        <f t="shared" si="34"/>
        <v>6000000</v>
      </c>
      <c r="EC7" s="9">
        <f t="shared" si="35"/>
        <v>6000000</v>
      </c>
      <c r="ED7" s="9">
        <f t="shared" si="36"/>
        <v>6000000</v>
      </c>
    </row>
    <row r="8" spans="1:134" ht="59.4" customHeight="1" x14ac:dyDescent="0.3">
      <c r="A8" s="128"/>
      <c r="B8" s="247"/>
      <c r="C8" s="121" t="s">
        <v>361</v>
      </c>
      <c r="D8" s="69" t="s">
        <v>360</v>
      </c>
      <c r="E8" s="87">
        <v>510</v>
      </c>
      <c r="F8" s="67" t="s">
        <v>283</v>
      </c>
      <c r="G8" s="66">
        <f t="shared" si="0"/>
        <v>30000000</v>
      </c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>
        <v>30000000</v>
      </c>
      <c r="Y8" s="66"/>
      <c r="Z8" s="66"/>
      <c r="AA8" s="66"/>
      <c r="AB8" s="66"/>
      <c r="AC8" s="66"/>
      <c r="AD8" s="66"/>
      <c r="AE8" s="22">
        <f t="shared" si="1"/>
        <v>0.67111109999999996</v>
      </c>
      <c r="AF8" s="66">
        <f t="shared" si="2"/>
        <v>20133333</v>
      </c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>
        <f>+'[1]OCTUBRE 2019'!$Z$3391</f>
        <v>20133333</v>
      </c>
      <c r="AX8" s="66"/>
      <c r="AY8" s="66"/>
      <c r="AZ8" s="66"/>
      <c r="BA8" s="66"/>
      <c r="BB8" s="66"/>
      <c r="BC8" s="66"/>
      <c r="BD8" s="22">
        <f t="shared" si="3"/>
        <v>0.32888890000000004</v>
      </c>
      <c r="BE8" s="66">
        <f t="shared" si="4"/>
        <v>9866667</v>
      </c>
      <c r="BF8" s="66">
        <f t="shared" si="5"/>
        <v>0</v>
      </c>
      <c r="BG8" s="66">
        <f t="shared" si="5"/>
        <v>0</v>
      </c>
      <c r="BH8" s="66">
        <f t="shared" si="5"/>
        <v>0</v>
      </c>
      <c r="BI8" s="66"/>
      <c r="BJ8" s="66">
        <f t="shared" si="6"/>
        <v>0</v>
      </c>
      <c r="BK8" s="66">
        <f t="shared" si="6"/>
        <v>0</v>
      </c>
      <c r="BL8" s="66">
        <f t="shared" si="6"/>
        <v>0</v>
      </c>
      <c r="BM8" s="66">
        <f t="shared" si="6"/>
        <v>0</v>
      </c>
      <c r="BN8" s="66">
        <f t="shared" si="6"/>
        <v>0</v>
      </c>
      <c r="BO8" s="66">
        <f t="shared" si="6"/>
        <v>0</v>
      </c>
      <c r="BP8" s="66">
        <f t="shared" si="6"/>
        <v>0</v>
      </c>
      <c r="BQ8" s="66">
        <f t="shared" si="6"/>
        <v>0</v>
      </c>
      <c r="BR8" s="66">
        <f t="shared" si="6"/>
        <v>0</v>
      </c>
      <c r="BS8" s="66">
        <f t="shared" si="6"/>
        <v>0</v>
      </c>
      <c r="BT8" s="66">
        <f t="shared" si="7"/>
        <v>0</v>
      </c>
      <c r="BU8" s="66">
        <f t="shared" si="7"/>
        <v>0</v>
      </c>
      <c r="BV8" s="66">
        <f t="shared" si="7"/>
        <v>9866667</v>
      </c>
      <c r="BW8" s="66">
        <f t="shared" si="7"/>
        <v>0</v>
      </c>
      <c r="BX8" s="66">
        <f t="shared" si="7"/>
        <v>0</v>
      </c>
      <c r="BY8" s="66">
        <f t="shared" si="7"/>
        <v>0</v>
      </c>
      <c r="BZ8" s="66">
        <f t="shared" si="7"/>
        <v>0</v>
      </c>
      <c r="CA8" s="66"/>
      <c r="CB8" s="66">
        <f>AD8-BC8</f>
        <v>0</v>
      </c>
      <c r="CC8" s="22">
        <f t="shared" si="8"/>
        <v>0.67111109999999996</v>
      </c>
      <c r="CD8" s="66">
        <f t="shared" si="9"/>
        <v>20133333</v>
      </c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>
        <f>+'[3]JULIO 2019'!$H$2254</f>
        <v>20133333</v>
      </c>
      <c r="CV8" s="66"/>
      <c r="CW8" s="66"/>
      <c r="CX8" s="66"/>
      <c r="CY8" s="66"/>
      <c r="CZ8" s="66"/>
      <c r="DA8" s="66"/>
      <c r="DB8" s="22">
        <f t="shared" si="10"/>
        <v>0.32888890000000004</v>
      </c>
      <c r="DC8" s="66">
        <f t="shared" si="11"/>
        <v>9866667</v>
      </c>
      <c r="DD8" s="66">
        <f t="shared" si="12"/>
        <v>0</v>
      </c>
      <c r="DE8" s="66">
        <f t="shared" si="13"/>
        <v>0</v>
      </c>
      <c r="DF8" s="66">
        <f t="shared" si="14"/>
        <v>0</v>
      </c>
      <c r="DG8" s="66">
        <f t="shared" si="15"/>
        <v>0</v>
      </c>
      <c r="DH8" s="66">
        <f t="shared" si="16"/>
        <v>0</v>
      </c>
      <c r="DI8" s="66">
        <f t="shared" si="17"/>
        <v>0</v>
      </c>
      <c r="DJ8" s="66">
        <f t="shared" si="18"/>
        <v>0</v>
      </c>
      <c r="DK8" s="66">
        <f t="shared" si="19"/>
        <v>0</v>
      </c>
      <c r="DL8" s="66">
        <f t="shared" si="20"/>
        <v>0</v>
      </c>
      <c r="DM8" s="66">
        <f t="shared" si="21"/>
        <v>0</v>
      </c>
      <c r="DN8" s="66">
        <f t="shared" si="22"/>
        <v>0</v>
      </c>
      <c r="DO8" s="66">
        <f t="shared" si="23"/>
        <v>0</v>
      </c>
      <c r="DP8" s="66">
        <f t="shared" si="24"/>
        <v>0</v>
      </c>
      <c r="DQ8" s="66">
        <f t="shared" si="25"/>
        <v>0</v>
      </c>
      <c r="DR8" s="66">
        <f t="shared" si="26"/>
        <v>0</v>
      </c>
      <c r="DS8" s="66">
        <f t="shared" si="27"/>
        <v>0</v>
      </c>
      <c r="DT8" s="66">
        <f t="shared" si="28"/>
        <v>9866667</v>
      </c>
      <c r="DU8" s="66">
        <f t="shared" si="29"/>
        <v>0</v>
      </c>
      <c r="DV8" s="66">
        <f t="shared" si="30"/>
        <v>0</v>
      </c>
      <c r="DW8" s="66">
        <f t="shared" si="31"/>
        <v>0</v>
      </c>
      <c r="DX8" s="66">
        <f t="shared" si="32"/>
        <v>0</v>
      </c>
      <c r="DY8" s="66"/>
      <c r="DZ8" s="66">
        <f t="shared" si="33"/>
        <v>0</v>
      </c>
      <c r="EB8" s="9">
        <f t="shared" si="34"/>
        <v>30000000</v>
      </c>
      <c r="EC8" s="9">
        <f t="shared" si="35"/>
        <v>30000000</v>
      </c>
      <c r="ED8" s="9">
        <f t="shared" si="36"/>
        <v>30000000</v>
      </c>
    </row>
    <row r="9" spans="1:134" ht="36.6" customHeight="1" x14ac:dyDescent="0.3">
      <c r="A9" s="128"/>
      <c r="B9" s="248"/>
      <c r="C9" s="121" t="s">
        <v>359</v>
      </c>
      <c r="D9" s="69" t="s">
        <v>358</v>
      </c>
      <c r="E9" s="87">
        <v>510</v>
      </c>
      <c r="F9" s="67" t="s">
        <v>283</v>
      </c>
      <c r="G9" s="66">
        <f t="shared" si="0"/>
        <v>5000000</v>
      </c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>
        <v>5000000</v>
      </c>
      <c r="Y9" s="66"/>
      <c r="Z9" s="66"/>
      <c r="AA9" s="66"/>
      <c r="AB9" s="66"/>
      <c r="AC9" s="66"/>
      <c r="AD9" s="66"/>
      <c r="AE9" s="22">
        <f t="shared" si="1"/>
        <v>0.9982666</v>
      </c>
      <c r="AF9" s="66">
        <f t="shared" si="2"/>
        <v>4991333</v>
      </c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>
        <f>+'[1]OCTUBRE 2019'!$Z$3398</f>
        <v>4991333</v>
      </c>
      <c r="AX9" s="66"/>
      <c r="AY9" s="66"/>
      <c r="AZ9" s="66"/>
      <c r="BA9" s="66"/>
      <c r="BB9" s="66"/>
      <c r="BC9" s="66"/>
      <c r="BD9" s="22">
        <f t="shared" si="3"/>
        <v>1.7333999999999961E-3</v>
      </c>
      <c r="BE9" s="66">
        <f t="shared" si="4"/>
        <v>8667</v>
      </c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>
        <f t="shared" ref="BV9:BW13" si="37">X9-AW9</f>
        <v>8667</v>
      </c>
      <c r="BW9" s="66">
        <f t="shared" si="37"/>
        <v>0</v>
      </c>
      <c r="BX9" s="66"/>
      <c r="BY9" s="66"/>
      <c r="BZ9" s="66"/>
      <c r="CA9" s="66"/>
      <c r="CB9" s="66"/>
      <c r="CC9" s="22">
        <f t="shared" si="8"/>
        <v>0.9982666</v>
      </c>
      <c r="CD9" s="66">
        <f t="shared" si="9"/>
        <v>4991333</v>
      </c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>
        <f>+'[4]JUNIO 2019'!$H$1827</f>
        <v>4991333</v>
      </c>
      <c r="CV9" s="66"/>
      <c r="CW9" s="66"/>
      <c r="CX9" s="66"/>
      <c r="CY9" s="66"/>
      <c r="CZ9" s="66"/>
      <c r="DA9" s="66"/>
      <c r="DB9" s="22">
        <f t="shared" si="10"/>
        <v>1.7333999999999961E-3</v>
      </c>
      <c r="DC9" s="66">
        <f t="shared" si="11"/>
        <v>8667</v>
      </c>
      <c r="DD9" s="66">
        <f t="shared" si="12"/>
        <v>0</v>
      </c>
      <c r="DE9" s="66">
        <f t="shared" si="13"/>
        <v>0</v>
      </c>
      <c r="DF9" s="66">
        <f t="shared" si="14"/>
        <v>0</v>
      </c>
      <c r="DG9" s="66">
        <f t="shared" si="15"/>
        <v>0</v>
      </c>
      <c r="DH9" s="66">
        <f t="shared" si="16"/>
        <v>0</v>
      </c>
      <c r="DI9" s="66">
        <f t="shared" si="17"/>
        <v>0</v>
      </c>
      <c r="DJ9" s="66">
        <f t="shared" si="18"/>
        <v>0</v>
      </c>
      <c r="DK9" s="66">
        <f t="shared" si="19"/>
        <v>0</v>
      </c>
      <c r="DL9" s="66">
        <f t="shared" si="20"/>
        <v>0</v>
      </c>
      <c r="DM9" s="66">
        <f t="shared" si="21"/>
        <v>0</v>
      </c>
      <c r="DN9" s="66">
        <f t="shared" si="22"/>
        <v>0</v>
      </c>
      <c r="DO9" s="66">
        <f t="shared" si="23"/>
        <v>0</v>
      </c>
      <c r="DP9" s="66">
        <f t="shared" si="24"/>
        <v>0</v>
      </c>
      <c r="DQ9" s="66">
        <f t="shared" si="25"/>
        <v>0</v>
      </c>
      <c r="DR9" s="66">
        <f t="shared" si="26"/>
        <v>0</v>
      </c>
      <c r="DS9" s="66">
        <f t="shared" si="27"/>
        <v>0</v>
      </c>
      <c r="DT9" s="66">
        <f t="shared" si="28"/>
        <v>8667</v>
      </c>
      <c r="DU9" s="66">
        <f t="shared" si="29"/>
        <v>0</v>
      </c>
      <c r="DV9" s="66">
        <f t="shared" si="30"/>
        <v>0</v>
      </c>
      <c r="DW9" s="66">
        <f t="shared" si="31"/>
        <v>0</v>
      </c>
      <c r="DX9" s="66">
        <f t="shared" si="32"/>
        <v>0</v>
      </c>
      <c r="DY9" s="66"/>
      <c r="DZ9" s="66">
        <f t="shared" si="33"/>
        <v>0</v>
      </c>
      <c r="EB9" s="9">
        <f t="shared" si="34"/>
        <v>5000000</v>
      </c>
      <c r="EC9" s="9">
        <f t="shared" si="35"/>
        <v>5000000</v>
      </c>
      <c r="ED9" s="9">
        <f t="shared" si="36"/>
        <v>5000000</v>
      </c>
    </row>
    <row r="10" spans="1:134" ht="51" customHeight="1" x14ac:dyDescent="0.3">
      <c r="A10" s="128"/>
      <c r="B10" s="241" t="s">
        <v>357</v>
      </c>
      <c r="C10" s="121" t="s">
        <v>356</v>
      </c>
      <c r="D10" s="71" t="s">
        <v>355</v>
      </c>
      <c r="E10" s="87">
        <v>510</v>
      </c>
      <c r="F10" s="67" t="s">
        <v>354</v>
      </c>
      <c r="G10" s="66">
        <f t="shared" si="0"/>
        <v>126000000</v>
      </c>
      <c r="H10" s="66"/>
      <c r="I10" s="66"/>
      <c r="J10" s="66"/>
      <c r="K10" s="66"/>
      <c r="L10" s="66"/>
      <c r="M10" s="66"/>
      <c r="N10" s="66"/>
      <c r="O10" s="66"/>
      <c r="P10" s="66">
        <v>15000000</v>
      </c>
      <c r="Q10" s="66">
        <v>15000000</v>
      </c>
      <c r="R10" s="66">
        <v>15000000</v>
      </c>
      <c r="S10" s="66"/>
      <c r="T10" s="66"/>
      <c r="U10" s="66"/>
      <c r="V10" s="66"/>
      <c r="W10" s="66"/>
      <c r="X10" s="66">
        <v>16000000</v>
      </c>
      <c r="Y10" s="66"/>
      <c r="Z10" s="66"/>
      <c r="AA10" s="66"/>
      <c r="AB10" s="66"/>
      <c r="AC10" s="66"/>
      <c r="AD10" s="66">
        <f>45000000+25000000+5000000+5000000-15000000</f>
        <v>65000000</v>
      </c>
      <c r="AE10" s="22">
        <f t="shared" si="1"/>
        <v>0.45997091269841273</v>
      </c>
      <c r="AF10" s="66">
        <f t="shared" si="2"/>
        <v>57956335</v>
      </c>
      <c r="AG10" s="66"/>
      <c r="AH10" s="66"/>
      <c r="AI10" s="66"/>
      <c r="AJ10" s="66"/>
      <c r="AK10" s="66"/>
      <c r="AL10" s="66"/>
      <c r="AM10" s="66"/>
      <c r="AN10" s="66"/>
      <c r="AO10" s="66"/>
      <c r="AP10" s="66">
        <f>+'[1]OCTUBRE 2019'!$S$3409</f>
        <v>14999964</v>
      </c>
      <c r="AQ10" s="66"/>
      <c r="AR10" s="66"/>
      <c r="AS10" s="66"/>
      <c r="AT10" s="66"/>
      <c r="AU10" s="66"/>
      <c r="AV10" s="66"/>
      <c r="AW10" s="66">
        <f>+'[3]JULIO 2019'!$Y$2274</f>
        <v>16000000</v>
      </c>
      <c r="AX10" s="66"/>
      <c r="AY10" s="66"/>
      <c r="AZ10" s="66"/>
      <c r="BA10" s="66"/>
      <c r="BB10" s="66"/>
      <c r="BC10" s="66">
        <f>+'[1]OCTUBRE 2019'!$AG$3409</f>
        <v>26956371</v>
      </c>
      <c r="BD10" s="22">
        <f t="shared" si="3"/>
        <v>0.54002908730158727</v>
      </c>
      <c r="BE10" s="66">
        <f t="shared" si="4"/>
        <v>68043665</v>
      </c>
      <c r="BF10" s="66">
        <f t="shared" ref="BF10:BH13" si="38">H10-AG10</f>
        <v>0</v>
      </c>
      <c r="BG10" s="66">
        <f t="shared" si="38"/>
        <v>0</v>
      </c>
      <c r="BH10" s="66">
        <f t="shared" si="38"/>
        <v>0</v>
      </c>
      <c r="BI10" s="66">
        <f t="shared" ref="BI10:BI38" si="39">+K10-AJ10</f>
        <v>0</v>
      </c>
      <c r="BJ10" s="66">
        <f t="shared" ref="BJ10:BU13" si="40">L10-AK10</f>
        <v>0</v>
      </c>
      <c r="BK10" s="66">
        <f t="shared" si="40"/>
        <v>0</v>
      </c>
      <c r="BL10" s="66">
        <f t="shared" si="40"/>
        <v>0</v>
      </c>
      <c r="BM10" s="66">
        <f t="shared" si="40"/>
        <v>0</v>
      </c>
      <c r="BN10" s="66">
        <f t="shared" si="40"/>
        <v>15000000</v>
      </c>
      <c r="BO10" s="66">
        <f t="shared" si="40"/>
        <v>36</v>
      </c>
      <c r="BP10" s="66">
        <f t="shared" si="40"/>
        <v>15000000</v>
      </c>
      <c r="BQ10" s="66">
        <f t="shared" si="40"/>
        <v>0</v>
      </c>
      <c r="BR10" s="66">
        <f t="shared" si="40"/>
        <v>0</v>
      </c>
      <c r="BS10" s="66">
        <f t="shared" si="40"/>
        <v>0</v>
      </c>
      <c r="BT10" s="66">
        <f t="shared" si="40"/>
        <v>0</v>
      </c>
      <c r="BU10" s="66">
        <f t="shared" si="40"/>
        <v>0</v>
      </c>
      <c r="BV10" s="66">
        <f t="shared" si="37"/>
        <v>0</v>
      </c>
      <c r="BW10" s="66">
        <f t="shared" si="37"/>
        <v>0</v>
      </c>
      <c r="BX10" s="66">
        <f t="shared" ref="BX10:CB11" si="41">Z10-AY10</f>
        <v>0</v>
      </c>
      <c r="BY10" s="66">
        <f t="shared" si="41"/>
        <v>0</v>
      </c>
      <c r="BZ10" s="66">
        <f t="shared" si="41"/>
        <v>0</v>
      </c>
      <c r="CA10" s="66">
        <f t="shared" si="41"/>
        <v>0</v>
      </c>
      <c r="CB10" s="66">
        <f t="shared" si="41"/>
        <v>38043629</v>
      </c>
      <c r="CC10" s="22">
        <f t="shared" si="8"/>
        <v>0.31956807936507936</v>
      </c>
      <c r="CD10" s="66">
        <f t="shared" si="9"/>
        <v>40265578</v>
      </c>
      <c r="CE10" s="66"/>
      <c r="CF10" s="66"/>
      <c r="CG10" s="66"/>
      <c r="CH10" s="66"/>
      <c r="CI10" s="66"/>
      <c r="CJ10" s="66"/>
      <c r="CK10" s="66"/>
      <c r="CL10" s="66"/>
      <c r="CM10" s="66"/>
      <c r="CN10" s="66">
        <f>+'[1]OCTUBRE 2019'!$H$3424</f>
        <v>14999964</v>
      </c>
      <c r="CO10" s="66"/>
      <c r="CP10" s="66"/>
      <c r="CQ10" s="66"/>
      <c r="CR10" s="66"/>
      <c r="CS10" s="66"/>
      <c r="CT10" s="66"/>
      <c r="CU10" s="66">
        <f>+'[1]OCTUBRE 2019'!$H$3417</f>
        <v>7200000</v>
      </c>
      <c r="CV10" s="66"/>
      <c r="CW10" s="66"/>
      <c r="CX10" s="66"/>
      <c r="CY10" s="66"/>
      <c r="CZ10" s="66"/>
      <c r="DA10" s="66">
        <f>+'[1]OCTUBRE 2019'!$H$3410+'[1]OCTUBRE 2019'!$H$3413+'[1]OCTUBRE 2019'!$H$3414+'[1]OCTUBRE 2019'!$H$3415+'[1]OCTUBRE 2019'!$H$3416+'[1]OCTUBRE 2019'!$H$3419+'[1]OCTUBRE 2019'!$H$3422+'[1]OCTUBRE 2019'!$H$3428</f>
        <v>18065614</v>
      </c>
      <c r="DB10" s="22">
        <f t="shared" si="10"/>
        <v>0.68043192063492064</v>
      </c>
      <c r="DC10" s="66">
        <f t="shared" si="11"/>
        <v>85734422</v>
      </c>
      <c r="DD10" s="66">
        <f t="shared" si="12"/>
        <v>0</v>
      </c>
      <c r="DE10" s="66">
        <f t="shared" si="13"/>
        <v>0</v>
      </c>
      <c r="DF10" s="66">
        <f t="shared" si="14"/>
        <v>0</v>
      </c>
      <c r="DG10" s="66">
        <f t="shared" si="15"/>
        <v>0</v>
      </c>
      <c r="DH10" s="66">
        <f t="shared" si="16"/>
        <v>0</v>
      </c>
      <c r="DI10" s="66">
        <f t="shared" si="17"/>
        <v>0</v>
      </c>
      <c r="DJ10" s="66">
        <f t="shared" si="18"/>
        <v>0</v>
      </c>
      <c r="DK10" s="66">
        <f t="shared" si="19"/>
        <v>0</v>
      </c>
      <c r="DL10" s="66">
        <f t="shared" si="20"/>
        <v>15000000</v>
      </c>
      <c r="DM10" s="66">
        <f t="shared" si="21"/>
        <v>36</v>
      </c>
      <c r="DN10" s="66">
        <f t="shared" si="22"/>
        <v>15000000</v>
      </c>
      <c r="DO10" s="66">
        <f t="shared" si="23"/>
        <v>0</v>
      </c>
      <c r="DP10" s="66">
        <f t="shared" si="24"/>
        <v>0</v>
      </c>
      <c r="DQ10" s="66">
        <f t="shared" si="25"/>
        <v>0</v>
      </c>
      <c r="DR10" s="66">
        <f t="shared" si="26"/>
        <v>0</v>
      </c>
      <c r="DS10" s="66">
        <f t="shared" si="27"/>
        <v>0</v>
      </c>
      <c r="DT10" s="66">
        <f t="shared" si="28"/>
        <v>8800000</v>
      </c>
      <c r="DU10" s="66">
        <f t="shared" si="29"/>
        <v>0</v>
      </c>
      <c r="DV10" s="66">
        <f t="shared" si="30"/>
        <v>0</v>
      </c>
      <c r="DW10" s="66">
        <f t="shared" si="31"/>
        <v>0</v>
      </c>
      <c r="DX10" s="66">
        <f t="shared" si="32"/>
        <v>0</v>
      </c>
      <c r="DY10" s="66">
        <f>AC10-CZ10</f>
        <v>0</v>
      </c>
      <c r="DZ10" s="66">
        <f t="shared" si="33"/>
        <v>46934386</v>
      </c>
      <c r="EB10" s="9">
        <f t="shared" si="34"/>
        <v>126000000</v>
      </c>
      <c r="EC10" s="9">
        <f t="shared" si="35"/>
        <v>126000000</v>
      </c>
      <c r="ED10" s="9">
        <f t="shared" si="36"/>
        <v>126000000</v>
      </c>
    </row>
    <row r="11" spans="1:134" ht="21" customHeight="1" x14ac:dyDescent="0.3">
      <c r="A11" s="128"/>
      <c r="B11" s="241"/>
      <c r="C11" s="121" t="s">
        <v>353</v>
      </c>
      <c r="D11" s="122" t="s">
        <v>352</v>
      </c>
      <c r="E11" s="87">
        <v>510</v>
      </c>
      <c r="F11" s="67" t="s">
        <v>283</v>
      </c>
      <c r="G11" s="66">
        <f t="shared" si="0"/>
        <v>992811018</v>
      </c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>
        <v>20000000</v>
      </c>
      <c r="Y11" s="66"/>
      <c r="Z11" s="66"/>
      <c r="AA11" s="66"/>
      <c r="AB11" s="66"/>
      <c r="AC11" s="66">
        <v>972811018</v>
      </c>
      <c r="AD11" s="66"/>
      <c r="AE11" s="22">
        <f t="shared" si="1"/>
        <v>0.5684163347993787</v>
      </c>
      <c r="AF11" s="66">
        <f t="shared" si="2"/>
        <v>564330000</v>
      </c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>
        <f>+'[2]SEPTIEMBRE 2019'!$AF$3048</f>
        <v>564330000</v>
      </c>
      <c r="BC11" s="66"/>
      <c r="BD11" s="22">
        <f t="shared" si="3"/>
        <v>0.4315836652006213</v>
      </c>
      <c r="BE11" s="66">
        <f t="shared" si="4"/>
        <v>428481018</v>
      </c>
      <c r="BF11" s="66">
        <f t="shared" si="38"/>
        <v>0</v>
      </c>
      <c r="BG11" s="66">
        <f t="shared" si="38"/>
        <v>0</v>
      </c>
      <c r="BH11" s="66">
        <f t="shared" si="38"/>
        <v>0</v>
      </c>
      <c r="BI11" s="66">
        <f t="shared" si="39"/>
        <v>0</v>
      </c>
      <c r="BJ11" s="66">
        <f t="shared" si="40"/>
        <v>0</v>
      </c>
      <c r="BK11" s="66">
        <f t="shared" si="40"/>
        <v>0</v>
      </c>
      <c r="BL11" s="66">
        <f t="shared" si="40"/>
        <v>0</v>
      </c>
      <c r="BM11" s="66">
        <f t="shared" si="40"/>
        <v>0</v>
      </c>
      <c r="BN11" s="66">
        <f t="shared" si="40"/>
        <v>0</v>
      </c>
      <c r="BO11" s="66">
        <f t="shared" si="40"/>
        <v>0</v>
      </c>
      <c r="BP11" s="66">
        <f t="shared" si="40"/>
        <v>0</v>
      </c>
      <c r="BQ11" s="66">
        <f t="shared" si="40"/>
        <v>0</v>
      </c>
      <c r="BR11" s="66">
        <f t="shared" si="40"/>
        <v>0</v>
      </c>
      <c r="BS11" s="66">
        <f t="shared" si="40"/>
        <v>0</v>
      </c>
      <c r="BT11" s="66">
        <f t="shared" si="40"/>
        <v>0</v>
      </c>
      <c r="BU11" s="66">
        <f t="shared" si="40"/>
        <v>0</v>
      </c>
      <c r="BV11" s="66">
        <f t="shared" si="37"/>
        <v>20000000</v>
      </c>
      <c r="BW11" s="66">
        <f t="shared" si="37"/>
        <v>0</v>
      </c>
      <c r="BX11" s="66">
        <f t="shared" si="41"/>
        <v>0</v>
      </c>
      <c r="BY11" s="66">
        <f t="shared" si="41"/>
        <v>0</v>
      </c>
      <c r="BZ11" s="66">
        <f t="shared" si="41"/>
        <v>0</v>
      </c>
      <c r="CA11" s="66">
        <f t="shared" si="41"/>
        <v>408481018</v>
      </c>
      <c r="CB11" s="66">
        <f t="shared" si="41"/>
        <v>0</v>
      </c>
      <c r="CC11" s="22">
        <f t="shared" si="8"/>
        <v>0.47042606753181704</v>
      </c>
      <c r="CD11" s="66">
        <f t="shared" si="9"/>
        <v>467044183</v>
      </c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>
        <f>+'[1]OCTUBRE 2019'!$H$3432</f>
        <v>467044183</v>
      </c>
      <c r="DA11" s="66"/>
      <c r="DB11" s="22">
        <f t="shared" si="10"/>
        <v>0.52957393246818296</v>
      </c>
      <c r="DC11" s="66">
        <f t="shared" si="11"/>
        <v>525766835</v>
      </c>
      <c r="DD11" s="66">
        <f t="shared" si="12"/>
        <v>0</v>
      </c>
      <c r="DE11" s="66">
        <f t="shared" si="13"/>
        <v>0</v>
      </c>
      <c r="DF11" s="66">
        <f t="shared" si="14"/>
        <v>0</v>
      </c>
      <c r="DG11" s="66">
        <f t="shared" si="15"/>
        <v>0</v>
      </c>
      <c r="DH11" s="66">
        <f t="shared" si="16"/>
        <v>0</v>
      </c>
      <c r="DI11" s="66">
        <f t="shared" si="17"/>
        <v>0</v>
      </c>
      <c r="DJ11" s="66">
        <f t="shared" si="18"/>
        <v>0</v>
      </c>
      <c r="DK11" s="66">
        <f t="shared" si="19"/>
        <v>0</v>
      </c>
      <c r="DL11" s="66">
        <f t="shared" si="20"/>
        <v>0</v>
      </c>
      <c r="DM11" s="66">
        <f t="shared" si="21"/>
        <v>0</v>
      </c>
      <c r="DN11" s="66">
        <f t="shared" si="22"/>
        <v>0</v>
      </c>
      <c r="DO11" s="66">
        <f t="shared" si="23"/>
        <v>0</v>
      </c>
      <c r="DP11" s="66">
        <f t="shared" si="24"/>
        <v>0</v>
      </c>
      <c r="DQ11" s="66">
        <f t="shared" si="25"/>
        <v>0</v>
      </c>
      <c r="DR11" s="66">
        <f t="shared" si="26"/>
        <v>0</v>
      </c>
      <c r="DS11" s="66">
        <f t="shared" si="27"/>
        <v>0</v>
      </c>
      <c r="DT11" s="66">
        <f t="shared" si="28"/>
        <v>20000000</v>
      </c>
      <c r="DU11" s="66">
        <f t="shared" si="29"/>
        <v>0</v>
      </c>
      <c r="DV11" s="66">
        <f t="shared" si="30"/>
        <v>0</v>
      </c>
      <c r="DW11" s="66">
        <f t="shared" si="31"/>
        <v>0</v>
      </c>
      <c r="DX11" s="66">
        <f t="shared" si="32"/>
        <v>0</v>
      </c>
      <c r="DY11" s="66">
        <f>AC11-CZ11</f>
        <v>505766835</v>
      </c>
      <c r="DZ11" s="66">
        <f t="shared" si="33"/>
        <v>0</v>
      </c>
      <c r="EB11" s="9">
        <f t="shared" si="34"/>
        <v>992811018</v>
      </c>
      <c r="EC11" s="9">
        <f t="shared" si="35"/>
        <v>992811018</v>
      </c>
      <c r="ED11" s="9">
        <f t="shared" si="36"/>
        <v>992811018</v>
      </c>
    </row>
    <row r="12" spans="1:134" ht="41.4" customHeight="1" x14ac:dyDescent="0.3">
      <c r="A12" s="128"/>
      <c r="B12" s="241"/>
      <c r="C12" s="121" t="s">
        <v>351</v>
      </c>
      <c r="D12" s="71" t="s">
        <v>350</v>
      </c>
      <c r="E12" s="87">
        <v>510</v>
      </c>
      <c r="F12" s="67" t="s">
        <v>283</v>
      </c>
      <c r="G12" s="66">
        <f t="shared" si="0"/>
        <v>15000000</v>
      </c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>
        <v>15000000</v>
      </c>
      <c r="Y12" s="66"/>
      <c r="Z12" s="66"/>
      <c r="AA12" s="66"/>
      <c r="AB12" s="66"/>
      <c r="AC12" s="66"/>
      <c r="AD12" s="66"/>
      <c r="AE12" s="22">
        <f t="shared" si="1"/>
        <v>1</v>
      </c>
      <c r="AF12" s="66">
        <f t="shared" si="2"/>
        <v>15000000</v>
      </c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>
        <f>+'[5]MARZO 2019'!$Y$1108</f>
        <v>15000000</v>
      </c>
      <c r="AX12" s="66"/>
      <c r="AY12" s="66"/>
      <c r="AZ12" s="66"/>
      <c r="BA12" s="66"/>
      <c r="BB12" s="66"/>
      <c r="BC12" s="66"/>
      <c r="BD12" s="22">
        <f t="shared" si="3"/>
        <v>0</v>
      </c>
      <c r="BE12" s="66">
        <f t="shared" si="4"/>
        <v>0</v>
      </c>
      <c r="BF12" s="66">
        <f t="shared" si="38"/>
        <v>0</v>
      </c>
      <c r="BG12" s="66">
        <f t="shared" si="38"/>
        <v>0</v>
      </c>
      <c r="BH12" s="66">
        <f t="shared" si="38"/>
        <v>0</v>
      </c>
      <c r="BI12" s="66">
        <f t="shared" si="39"/>
        <v>0</v>
      </c>
      <c r="BJ12" s="66">
        <f t="shared" si="40"/>
        <v>0</v>
      </c>
      <c r="BK12" s="66">
        <f t="shared" si="40"/>
        <v>0</v>
      </c>
      <c r="BL12" s="66">
        <f t="shared" si="40"/>
        <v>0</v>
      </c>
      <c r="BM12" s="66">
        <f t="shared" si="40"/>
        <v>0</v>
      </c>
      <c r="BN12" s="66">
        <f t="shared" si="40"/>
        <v>0</v>
      </c>
      <c r="BO12" s="66">
        <f t="shared" si="40"/>
        <v>0</v>
      </c>
      <c r="BP12" s="66">
        <f t="shared" si="40"/>
        <v>0</v>
      </c>
      <c r="BQ12" s="66">
        <f t="shared" si="40"/>
        <v>0</v>
      </c>
      <c r="BR12" s="66">
        <f t="shared" si="40"/>
        <v>0</v>
      </c>
      <c r="BS12" s="66">
        <f t="shared" si="40"/>
        <v>0</v>
      </c>
      <c r="BT12" s="66">
        <f t="shared" si="40"/>
        <v>0</v>
      </c>
      <c r="BU12" s="66">
        <f t="shared" si="40"/>
        <v>0</v>
      </c>
      <c r="BV12" s="66">
        <f t="shared" si="37"/>
        <v>0</v>
      </c>
      <c r="BW12" s="66">
        <f t="shared" si="37"/>
        <v>0</v>
      </c>
      <c r="BX12" s="66">
        <f t="shared" ref="BX12:BZ13" si="42">Z12-AY12</f>
        <v>0</v>
      </c>
      <c r="BY12" s="66">
        <f t="shared" si="42"/>
        <v>0</v>
      </c>
      <c r="BZ12" s="66">
        <f t="shared" si="42"/>
        <v>0</v>
      </c>
      <c r="CA12" s="66"/>
      <c r="CB12" s="66">
        <f>AD12-BC12</f>
        <v>0</v>
      </c>
      <c r="CC12" s="22">
        <f t="shared" si="8"/>
        <v>0.87111106666666671</v>
      </c>
      <c r="CD12" s="66">
        <f t="shared" si="9"/>
        <v>13066666</v>
      </c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>
        <f>+'[3]JULIO 2019'!$H$2299</f>
        <v>13066666</v>
      </c>
      <c r="CV12" s="66"/>
      <c r="CW12" s="66"/>
      <c r="CX12" s="66"/>
      <c r="CY12" s="66"/>
      <c r="CZ12" s="66"/>
      <c r="DA12" s="66"/>
      <c r="DB12" s="22">
        <f t="shared" si="10"/>
        <v>0.12888893333333329</v>
      </c>
      <c r="DC12" s="66">
        <f t="shared" si="11"/>
        <v>1933334</v>
      </c>
      <c r="DD12" s="66">
        <f t="shared" si="12"/>
        <v>0</v>
      </c>
      <c r="DE12" s="66">
        <f t="shared" si="13"/>
        <v>0</v>
      </c>
      <c r="DF12" s="66">
        <f t="shared" si="14"/>
        <v>0</v>
      </c>
      <c r="DG12" s="66">
        <f t="shared" si="15"/>
        <v>0</v>
      </c>
      <c r="DH12" s="66">
        <f t="shared" si="16"/>
        <v>0</v>
      </c>
      <c r="DI12" s="66">
        <f t="shared" si="17"/>
        <v>0</v>
      </c>
      <c r="DJ12" s="66">
        <f t="shared" si="18"/>
        <v>0</v>
      </c>
      <c r="DK12" s="66">
        <f t="shared" si="19"/>
        <v>0</v>
      </c>
      <c r="DL12" s="66">
        <f t="shared" si="20"/>
        <v>0</v>
      </c>
      <c r="DM12" s="66">
        <f t="shared" si="21"/>
        <v>0</v>
      </c>
      <c r="DN12" s="66">
        <f t="shared" si="22"/>
        <v>0</v>
      </c>
      <c r="DO12" s="66">
        <f t="shared" si="23"/>
        <v>0</v>
      </c>
      <c r="DP12" s="66">
        <f t="shared" si="24"/>
        <v>0</v>
      </c>
      <c r="DQ12" s="66">
        <f t="shared" si="25"/>
        <v>0</v>
      </c>
      <c r="DR12" s="66">
        <f t="shared" si="26"/>
        <v>0</v>
      </c>
      <c r="DS12" s="66">
        <f t="shared" si="27"/>
        <v>0</v>
      </c>
      <c r="DT12" s="66">
        <f t="shared" si="28"/>
        <v>1933334</v>
      </c>
      <c r="DU12" s="66">
        <f t="shared" si="29"/>
        <v>0</v>
      </c>
      <c r="DV12" s="66">
        <f t="shared" si="30"/>
        <v>0</v>
      </c>
      <c r="DW12" s="66">
        <f t="shared" si="31"/>
        <v>0</v>
      </c>
      <c r="DX12" s="66">
        <f t="shared" si="32"/>
        <v>0</v>
      </c>
      <c r="DY12" s="66"/>
      <c r="DZ12" s="66">
        <f t="shared" si="33"/>
        <v>0</v>
      </c>
      <c r="EB12" s="9">
        <f t="shared" si="34"/>
        <v>15000000</v>
      </c>
      <c r="EC12" s="9">
        <f t="shared" si="35"/>
        <v>15000000</v>
      </c>
      <c r="ED12" s="9">
        <f t="shared" si="36"/>
        <v>15000000</v>
      </c>
    </row>
    <row r="13" spans="1:134" ht="28.8" customHeight="1" x14ac:dyDescent="0.3">
      <c r="A13" s="128"/>
      <c r="B13" s="241"/>
      <c r="C13" s="121" t="s">
        <v>349</v>
      </c>
      <c r="D13" s="71" t="s">
        <v>348</v>
      </c>
      <c r="E13" s="87">
        <v>510</v>
      </c>
      <c r="F13" s="67" t="s">
        <v>283</v>
      </c>
      <c r="G13" s="66">
        <f t="shared" si="0"/>
        <v>15000000</v>
      </c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>
        <f>40000000-25000000</f>
        <v>15000000</v>
      </c>
      <c r="Y13" s="66"/>
      <c r="Z13" s="66"/>
      <c r="AA13" s="66"/>
      <c r="AB13" s="66"/>
      <c r="AC13" s="66"/>
      <c r="AD13" s="66"/>
      <c r="AE13" s="22">
        <f t="shared" si="1"/>
        <v>0</v>
      </c>
      <c r="AF13" s="66">
        <f t="shared" si="2"/>
        <v>0</v>
      </c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22">
        <f t="shared" si="3"/>
        <v>1</v>
      </c>
      <c r="BE13" s="66">
        <f t="shared" si="4"/>
        <v>15000000</v>
      </c>
      <c r="BF13" s="66">
        <f t="shared" si="38"/>
        <v>0</v>
      </c>
      <c r="BG13" s="66">
        <f t="shared" si="38"/>
        <v>0</v>
      </c>
      <c r="BH13" s="66">
        <f t="shared" si="38"/>
        <v>0</v>
      </c>
      <c r="BI13" s="66">
        <f t="shared" si="39"/>
        <v>0</v>
      </c>
      <c r="BJ13" s="66">
        <f t="shared" si="40"/>
        <v>0</v>
      </c>
      <c r="BK13" s="66">
        <f t="shared" si="40"/>
        <v>0</v>
      </c>
      <c r="BL13" s="66">
        <f t="shared" si="40"/>
        <v>0</v>
      </c>
      <c r="BM13" s="66">
        <f t="shared" si="40"/>
        <v>0</v>
      </c>
      <c r="BN13" s="66">
        <f t="shared" si="40"/>
        <v>0</v>
      </c>
      <c r="BO13" s="66">
        <f t="shared" si="40"/>
        <v>0</v>
      </c>
      <c r="BP13" s="66">
        <f t="shared" si="40"/>
        <v>0</v>
      </c>
      <c r="BQ13" s="66">
        <f t="shared" si="40"/>
        <v>0</v>
      </c>
      <c r="BR13" s="66">
        <f t="shared" si="40"/>
        <v>0</v>
      </c>
      <c r="BS13" s="66">
        <f t="shared" si="40"/>
        <v>0</v>
      </c>
      <c r="BT13" s="66">
        <f t="shared" si="40"/>
        <v>0</v>
      </c>
      <c r="BU13" s="66">
        <f t="shared" si="40"/>
        <v>0</v>
      </c>
      <c r="BV13" s="66">
        <f t="shared" si="37"/>
        <v>15000000</v>
      </c>
      <c r="BW13" s="66">
        <f t="shared" si="37"/>
        <v>0</v>
      </c>
      <c r="BX13" s="66">
        <f t="shared" si="42"/>
        <v>0</v>
      </c>
      <c r="BY13" s="66">
        <f t="shared" si="42"/>
        <v>0</v>
      </c>
      <c r="BZ13" s="66">
        <f t="shared" si="42"/>
        <v>0</v>
      </c>
      <c r="CA13" s="66"/>
      <c r="CB13" s="66">
        <f>AD13-BC13</f>
        <v>0</v>
      </c>
      <c r="CC13" s="22">
        <f t="shared" si="8"/>
        <v>0</v>
      </c>
      <c r="CD13" s="66">
        <f t="shared" si="9"/>
        <v>0</v>
      </c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22">
        <f t="shared" si="10"/>
        <v>1</v>
      </c>
      <c r="DC13" s="66">
        <f t="shared" si="11"/>
        <v>15000000</v>
      </c>
      <c r="DD13" s="66">
        <f t="shared" si="12"/>
        <v>0</v>
      </c>
      <c r="DE13" s="66">
        <f t="shared" si="13"/>
        <v>0</v>
      </c>
      <c r="DF13" s="66">
        <f t="shared" si="14"/>
        <v>0</v>
      </c>
      <c r="DG13" s="66">
        <f t="shared" si="15"/>
        <v>0</v>
      </c>
      <c r="DH13" s="66">
        <f t="shared" si="16"/>
        <v>0</v>
      </c>
      <c r="DI13" s="66">
        <f t="shared" si="17"/>
        <v>0</v>
      </c>
      <c r="DJ13" s="66">
        <f t="shared" si="18"/>
        <v>0</v>
      </c>
      <c r="DK13" s="66">
        <f t="shared" si="19"/>
        <v>0</v>
      </c>
      <c r="DL13" s="66">
        <f t="shared" si="20"/>
        <v>0</v>
      </c>
      <c r="DM13" s="66">
        <f t="shared" si="21"/>
        <v>0</v>
      </c>
      <c r="DN13" s="66">
        <f t="shared" si="22"/>
        <v>0</v>
      </c>
      <c r="DO13" s="66">
        <f t="shared" si="23"/>
        <v>0</v>
      </c>
      <c r="DP13" s="66">
        <f t="shared" si="24"/>
        <v>0</v>
      </c>
      <c r="DQ13" s="66">
        <f t="shared" si="25"/>
        <v>0</v>
      </c>
      <c r="DR13" s="66">
        <f t="shared" si="26"/>
        <v>0</v>
      </c>
      <c r="DS13" s="66">
        <f t="shared" si="27"/>
        <v>0</v>
      </c>
      <c r="DT13" s="66">
        <f t="shared" si="28"/>
        <v>15000000</v>
      </c>
      <c r="DU13" s="66">
        <f t="shared" si="29"/>
        <v>0</v>
      </c>
      <c r="DV13" s="66">
        <f t="shared" si="30"/>
        <v>0</v>
      </c>
      <c r="DW13" s="66">
        <f t="shared" si="31"/>
        <v>0</v>
      </c>
      <c r="DX13" s="66">
        <f t="shared" si="32"/>
        <v>0</v>
      </c>
      <c r="DY13" s="66"/>
      <c r="DZ13" s="66">
        <f t="shared" si="33"/>
        <v>0</v>
      </c>
      <c r="EB13" s="9">
        <f t="shared" si="34"/>
        <v>15000000</v>
      </c>
      <c r="EC13" s="9">
        <f t="shared" si="35"/>
        <v>15000000</v>
      </c>
      <c r="ED13" s="9">
        <f t="shared" si="36"/>
        <v>15000000</v>
      </c>
    </row>
    <row r="14" spans="1:134" ht="18" customHeight="1" x14ac:dyDescent="0.3">
      <c r="A14" s="128"/>
      <c r="B14" s="249" t="s">
        <v>347</v>
      </c>
      <c r="C14" s="101" t="s">
        <v>346</v>
      </c>
      <c r="D14" s="71" t="s">
        <v>345</v>
      </c>
      <c r="E14" s="87">
        <v>310</v>
      </c>
      <c r="F14" s="67" t="s">
        <v>283</v>
      </c>
      <c r="G14" s="66">
        <f t="shared" si="0"/>
        <v>150000000</v>
      </c>
      <c r="H14" s="66"/>
      <c r="I14" s="66"/>
      <c r="J14" s="66"/>
      <c r="K14" s="66">
        <v>150000000</v>
      </c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22">
        <f t="shared" si="1"/>
        <v>0</v>
      </c>
      <c r="AF14" s="66">
        <f t="shared" si="2"/>
        <v>0</v>
      </c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22">
        <f t="shared" si="3"/>
        <v>1</v>
      </c>
      <c r="BE14" s="66">
        <f t="shared" si="4"/>
        <v>150000000</v>
      </c>
      <c r="BF14" s="66"/>
      <c r="BG14" s="66"/>
      <c r="BH14" s="66"/>
      <c r="BI14" s="66">
        <f t="shared" si="39"/>
        <v>150000000</v>
      </c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22">
        <f t="shared" si="8"/>
        <v>0</v>
      </c>
      <c r="CD14" s="66">
        <f t="shared" si="9"/>
        <v>0</v>
      </c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22">
        <f t="shared" si="10"/>
        <v>1</v>
      </c>
      <c r="DC14" s="66">
        <f t="shared" si="11"/>
        <v>150000000</v>
      </c>
      <c r="DD14" s="66"/>
      <c r="DE14" s="66"/>
      <c r="DF14" s="66"/>
      <c r="DG14" s="66">
        <f t="shared" ref="DG14:DG38" si="43">K14-CH14</f>
        <v>150000000</v>
      </c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B14" s="9">
        <f t="shared" si="34"/>
        <v>150000000</v>
      </c>
      <c r="EC14" s="9">
        <f t="shared" si="35"/>
        <v>150000000</v>
      </c>
      <c r="ED14" s="9">
        <f t="shared" si="36"/>
        <v>150000000</v>
      </c>
    </row>
    <row r="15" spans="1:134" ht="43.2" customHeight="1" x14ac:dyDescent="0.3">
      <c r="A15" s="128"/>
      <c r="B15" s="250"/>
      <c r="C15" s="101" t="s">
        <v>344</v>
      </c>
      <c r="D15" s="69" t="s">
        <v>343</v>
      </c>
      <c r="E15" s="87">
        <v>310</v>
      </c>
      <c r="F15" s="67" t="s">
        <v>283</v>
      </c>
      <c r="G15" s="66">
        <f t="shared" si="0"/>
        <v>100000000</v>
      </c>
      <c r="H15" s="66"/>
      <c r="I15" s="66">
        <v>100000000</v>
      </c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22">
        <f t="shared" si="1"/>
        <v>1</v>
      </c>
      <c r="AF15" s="66">
        <f t="shared" si="2"/>
        <v>100000000</v>
      </c>
      <c r="AG15" s="66"/>
      <c r="AH15" s="66">
        <f>+'[5]MARZO 2019'!$K$156</f>
        <v>100000000</v>
      </c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22">
        <f t="shared" si="3"/>
        <v>0</v>
      </c>
      <c r="BE15" s="66">
        <f t="shared" si="4"/>
        <v>0</v>
      </c>
      <c r="BF15" s="66">
        <f>H15-AG15</f>
        <v>0</v>
      </c>
      <c r="BG15" s="66">
        <f>I15-AH15</f>
        <v>0</v>
      </c>
      <c r="BH15" s="66">
        <f>J15-AI15</f>
        <v>0</v>
      </c>
      <c r="BI15" s="66">
        <f t="shared" si="39"/>
        <v>0</v>
      </c>
      <c r="BJ15" s="66">
        <f t="shared" ref="BJ15:BZ15" si="44">L15-AK15</f>
        <v>0</v>
      </c>
      <c r="BK15" s="66">
        <f t="shared" si="44"/>
        <v>0</v>
      </c>
      <c r="BL15" s="66">
        <f t="shared" si="44"/>
        <v>0</v>
      </c>
      <c r="BM15" s="66">
        <f t="shared" si="44"/>
        <v>0</v>
      </c>
      <c r="BN15" s="66">
        <f t="shared" si="44"/>
        <v>0</v>
      </c>
      <c r="BO15" s="66">
        <f t="shared" si="44"/>
        <v>0</v>
      </c>
      <c r="BP15" s="66">
        <f t="shared" si="44"/>
        <v>0</v>
      </c>
      <c r="BQ15" s="66">
        <f t="shared" si="44"/>
        <v>0</v>
      </c>
      <c r="BR15" s="66">
        <f t="shared" si="44"/>
        <v>0</v>
      </c>
      <c r="BS15" s="66">
        <f t="shared" si="44"/>
        <v>0</v>
      </c>
      <c r="BT15" s="66">
        <f t="shared" si="44"/>
        <v>0</v>
      </c>
      <c r="BU15" s="66">
        <f t="shared" si="44"/>
        <v>0</v>
      </c>
      <c r="BV15" s="66">
        <f t="shared" si="44"/>
        <v>0</v>
      </c>
      <c r="BW15" s="66">
        <f t="shared" si="44"/>
        <v>0</v>
      </c>
      <c r="BX15" s="66">
        <f t="shared" si="44"/>
        <v>0</v>
      </c>
      <c r="BY15" s="66">
        <f t="shared" si="44"/>
        <v>0</v>
      </c>
      <c r="BZ15" s="66">
        <f t="shared" si="44"/>
        <v>0</v>
      </c>
      <c r="CA15" s="66"/>
      <c r="CB15" s="66">
        <f>AD15-BC15</f>
        <v>0</v>
      </c>
      <c r="CC15" s="22">
        <f t="shared" si="8"/>
        <v>0.58313333000000001</v>
      </c>
      <c r="CD15" s="66">
        <f t="shared" si="9"/>
        <v>58313333</v>
      </c>
      <c r="CE15" s="66"/>
      <c r="CF15" s="66">
        <f>+'[2]SEPTIEMBRE 2019'!$H$500+'[2]SEPTIEMBRE 2019'!$H$507+'[2]SEPTIEMBRE 2019'!$H$511+'[2]SEPTIEMBRE 2019'!$H$513+'[2]SEPTIEMBRE 2019'!$H$528+'[1]OCTUBRE 2019'!$H$589</f>
        <v>58313333</v>
      </c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22">
        <f t="shared" si="10"/>
        <v>0.41686666999999999</v>
      </c>
      <c r="DC15" s="66">
        <f t="shared" si="11"/>
        <v>41686667</v>
      </c>
      <c r="DD15" s="66">
        <f>H15-CE15</f>
        <v>0</v>
      </c>
      <c r="DE15" s="66">
        <f>I15-CF15</f>
        <v>41686667</v>
      </c>
      <c r="DF15" s="66">
        <f>J15-CG15</f>
        <v>0</v>
      </c>
      <c r="DG15" s="66">
        <f t="shared" si="43"/>
        <v>0</v>
      </c>
      <c r="DH15" s="66">
        <f t="shared" ref="DH15:DX15" si="45">L15-CI15</f>
        <v>0</v>
      </c>
      <c r="DI15" s="66">
        <f t="shared" si="45"/>
        <v>0</v>
      </c>
      <c r="DJ15" s="66">
        <f t="shared" si="45"/>
        <v>0</v>
      </c>
      <c r="DK15" s="66">
        <f t="shared" si="45"/>
        <v>0</v>
      </c>
      <c r="DL15" s="66">
        <f t="shared" si="45"/>
        <v>0</v>
      </c>
      <c r="DM15" s="66">
        <f t="shared" si="45"/>
        <v>0</v>
      </c>
      <c r="DN15" s="66">
        <f t="shared" si="45"/>
        <v>0</v>
      </c>
      <c r="DO15" s="66">
        <f t="shared" si="45"/>
        <v>0</v>
      </c>
      <c r="DP15" s="66">
        <f t="shared" si="45"/>
        <v>0</v>
      </c>
      <c r="DQ15" s="66">
        <f t="shared" si="45"/>
        <v>0</v>
      </c>
      <c r="DR15" s="66">
        <f t="shared" si="45"/>
        <v>0</v>
      </c>
      <c r="DS15" s="66">
        <f t="shared" si="45"/>
        <v>0</v>
      </c>
      <c r="DT15" s="66">
        <f t="shared" si="45"/>
        <v>0</v>
      </c>
      <c r="DU15" s="66">
        <f t="shared" si="45"/>
        <v>0</v>
      </c>
      <c r="DV15" s="66">
        <f t="shared" si="45"/>
        <v>0</v>
      </c>
      <c r="DW15" s="66">
        <f t="shared" si="45"/>
        <v>0</v>
      </c>
      <c r="DX15" s="66">
        <f t="shared" si="45"/>
        <v>0</v>
      </c>
      <c r="DY15" s="66"/>
      <c r="DZ15" s="66">
        <f>AD15-DA15</f>
        <v>0</v>
      </c>
      <c r="EB15" s="9">
        <f t="shared" si="34"/>
        <v>100000000</v>
      </c>
      <c r="EC15" s="9">
        <f t="shared" si="35"/>
        <v>100000000</v>
      </c>
      <c r="ED15" s="9">
        <f t="shared" si="36"/>
        <v>100000000</v>
      </c>
    </row>
    <row r="16" spans="1:134" ht="17.399999999999999" customHeight="1" x14ac:dyDescent="0.3">
      <c r="A16" s="128"/>
      <c r="B16" s="250"/>
      <c r="C16" s="121" t="s">
        <v>342</v>
      </c>
      <c r="D16" s="69" t="s">
        <v>341</v>
      </c>
      <c r="E16" s="87">
        <v>310</v>
      </c>
      <c r="F16" s="67" t="s">
        <v>283</v>
      </c>
      <c r="G16" s="66">
        <f t="shared" si="0"/>
        <v>150000000</v>
      </c>
      <c r="H16" s="66"/>
      <c r="I16" s="66"/>
      <c r="J16" s="66"/>
      <c r="K16" s="66">
        <v>150000000</v>
      </c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22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22">
        <f t="shared" si="3"/>
        <v>1</v>
      </c>
      <c r="BE16" s="66">
        <f t="shared" si="4"/>
        <v>150000000</v>
      </c>
      <c r="BF16" s="66"/>
      <c r="BG16" s="66"/>
      <c r="BH16" s="66"/>
      <c r="BI16" s="66">
        <f t="shared" si="39"/>
        <v>150000000</v>
      </c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22">
        <f t="shared" si="8"/>
        <v>0</v>
      </c>
      <c r="CD16" s="66">
        <f t="shared" si="9"/>
        <v>0</v>
      </c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22">
        <f t="shared" si="10"/>
        <v>1</v>
      </c>
      <c r="DC16" s="66">
        <f t="shared" si="11"/>
        <v>150000000</v>
      </c>
      <c r="DD16" s="66"/>
      <c r="DE16" s="66"/>
      <c r="DF16" s="66"/>
      <c r="DG16" s="66">
        <f t="shared" si="43"/>
        <v>150000000</v>
      </c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B16" s="9">
        <f t="shared" si="34"/>
        <v>150000000</v>
      </c>
      <c r="EC16" s="9">
        <f t="shared" si="35"/>
        <v>150000000</v>
      </c>
      <c r="ED16" s="9">
        <f t="shared" si="36"/>
        <v>150000000</v>
      </c>
    </row>
    <row r="17" spans="1:136" ht="16.8" customHeight="1" x14ac:dyDescent="0.3">
      <c r="A17" s="128"/>
      <c r="B17" s="250"/>
      <c r="C17" s="121" t="s">
        <v>340</v>
      </c>
      <c r="D17" s="71" t="s">
        <v>339</v>
      </c>
      <c r="E17" s="87">
        <v>310</v>
      </c>
      <c r="F17" s="135" t="s">
        <v>338</v>
      </c>
      <c r="G17" s="66">
        <f t="shared" si="0"/>
        <v>419000000</v>
      </c>
      <c r="H17" s="66"/>
      <c r="I17" s="66">
        <v>290000000</v>
      </c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>
        <v>54000000</v>
      </c>
      <c r="Z17" s="66"/>
      <c r="AA17" s="66"/>
      <c r="AB17" s="66"/>
      <c r="AC17" s="66"/>
      <c r="AD17" s="66">
        <f>50000000+15000000+10000000+5000000-5000000</f>
        <v>75000000</v>
      </c>
      <c r="AE17" s="22">
        <f t="shared" ref="AE17:AE29" si="46">+AF17/G17</f>
        <v>0.80802630310262524</v>
      </c>
      <c r="AF17" s="66">
        <f t="shared" ref="AF17:AF38" si="47">SUM(AG17:BC17)</f>
        <v>338563021</v>
      </c>
      <c r="AG17" s="66"/>
      <c r="AH17" s="66">
        <f>+'[1]OCTUBRE 2019'!$K$610</f>
        <v>285345383</v>
      </c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>
        <f>+'[1]OCTUBRE 2019'!$AG$610</f>
        <v>53217638</v>
      </c>
      <c r="BD17" s="22">
        <f t="shared" si="3"/>
        <v>0.19197369689737476</v>
      </c>
      <c r="BE17" s="66">
        <f t="shared" si="4"/>
        <v>80436979</v>
      </c>
      <c r="BF17" s="66">
        <f t="shared" ref="BF17:BF38" si="48">H17-AG17</f>
        <v>0</v>
      </c>
      <c r="BG17" s="66">
        <f t="shared" ref="BG17:BG38" si="49">I17-AH17</f>
        <v>4654617</v>
      </c>
      <c r="BH17" s="66">
        <f t="shared" ref="BH17:BH38" si="50">J17-AI17</f>
        <v>0</v>
      </c>
      <c r="BI17" s="66">
        <f t="shared" si="39"/>
        <v>0</v>
      </c>
      <c r="BJ17" s="66">
        <f t="shared" ref="BJ17:BJ38" si="51">L17-AK17</f>
        <v>0</v>
      </c>
      <c r="BK17" s="66">
        <f t="shared" ref="BK17:BK38" si="52">M17-AL17</f>
        <v>0</v>
      </c>
      <c r="BL17" s="66">
        <f t="shared" ref="BL17:BL38" si="53">N17-AM17</f>
        <v>0</v>
      </c>
      <c r="BM17" s="66">
        <f t="shared" ref="BM17:BM38" si="54">O17-AN17</f>
        <v>0</v>
      </c>
      <c r="BN17" s="66">
        <f t="shared" ref="BN17:BN38" si="55">P17-AO17</f>
        <v>0</v>
      </c>
      <c r="BO17" s="66">
        <f t="shared" ref="BO17:BO38" si="56">Q17-AP17</f>
        <v>0</v>
      </c>
      <c r="BP17" s="66">
        <f t="shared" ref="BP17:BP38" si="57">R17-AQ17</f>
        <v>0</v>
      </c>
      <c r="BQ17" s="66">
        <f t="shared" ref="BQ17:BQ38" si="58">S17-AR17</f>
        <v>0</v>
      </c>
      <c r="BR17" s="66">
        <f t="shared" ref="BR17:BR38" si="59">T17-AS17</f>
        <v>0</v>
      </c>
      <c r="BS17" s="66">
        <f t="shared" ref="BS17:BS38" si="60">U17-AT17</f>
        <v>0</v>
      </c>
      <c r="BT17" s="66">
        <f t="shared" ref="BT17:BT38" si="61">V17-AU17</f>
        <v>0</v>
      </c>
      <c r="BU17" s="66">
        <f t="shared" ref="BU17:BU38" si="62">W17-AV17</f>
        <v>0</v>
      </c>
      <c r="BV17" s="66">
        <f t="shared" ref="BV17:BV38" si="63">X17-AW17</f>
        <v>0</v>
      </c>
      <c r="BW17" s="66">
        <f t="shared" ref="BW17:BW38" si="64">Y17-AX17</f>
        <v>54000000</v>
      </c>
      <c r="BX17" s="66">
        <f t="shared" ref="BX17:BX38" si="65">Z17-AY17</f>
        <v>0</v>
      </c>
      <c r="BY17" s="66">
        <f t="shared" ref="BY17:BY38" si="66">AA17-AZ17</f>
        <v>0</v>
      </c>
      <c r="BZ17" s="66">
        <f t="shared" ref="BZ17:BZ38" si="67">AB17-BA17</f>
        <v>0</v>
      </c>
      <c r="CA17" s="66"/>
      <c r="CB17" s="66">
        <f t="shared" ref="CB17:CB38" si="68">AD17-BC17</f>
        <v>21782362</v>
      </c>
      <c r="CC17" s="22">
        <f t="shared" si="8"/>
        <v>0.70358347255369924</v>
      </c>
      <c r="CD17" s="66">
        <f t="shared" si="9"/>
        <v>294801475</v>
      </c>
      <c r="CE17" s="66"/>
      <c r="CF17" s="66">
        <f>+'[1]OCTUBRE 2019'!$H$608-DA17</f>
        <v>261583837</v>
      </c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66"/>
      <c r="CR17" s="66"/>
      <c r="CS17" s="66"/>
      <c r="CT17" s="66"/>
      <c r="CU17" s="66"/>
      <c r="CV17" s="66"/>
      <c r="CW17" s="66"/>
      <c r="CX17" s="66"/>
      <c r="CY17" s="66"/>
      <c r="CZ17" s="66"/>
      <c r="DA17" s="66">
        <f>+'[1]OCTUBRE 2019'!$H$612+'[1]OCTUBRE 2019'!$H$614+'[1]OCTUBRE 2019'!$H$621+'[1]OCTUBRE 2019'!$H$624+'[1]OCTUBRE 2019'!$H$856+'[1]OCTUBRE 2019'!$H$858+'[1]OCTUBRE 2019'!$H$859+'[1]OCTUBRE 2019'!$H$861+'[1]OCTUBRE 2019'!$H$862+'[1]OCTUBRE 2019'!$H$865+'[1]OCTUBRE 2019'!$H$868+'[1]OCTUBRE 2019'!$H$869+'[1]OCTUBRE 2019'!$H$870+'[1]OCTUBRE 2019'!$H$871+'[1]OCTUBRE 2019'!$H$872+'[1]OCTUBRE 2019'!$H$873</f>
        <v>33217638</v>
      </c>
      <c r="DB17" s="22">
        <f t="shared" si="10"/>
        <v>0.29641652744630076</v>
      </c>
      <c r="DC17" s="66">
        <f t="shared" si="11"/>
        <v>124198525</v>
      </c>
      <c r="DD17" s="66">
        <f t="shared" ref="DD17:DD38" si="69">H17-CE17</f>
        <v>0</v>
      </c>
      <c r="DE17" s="66">
        <f t="shared" ref="DE17:DE38" si="70">I17-CF17</f>
        <v>28416163</v>
      </c>
      <c r="DF17" s="66">
        <f t="shared" ref="DF17:DF38" si="71">J17-CG17</f>
        <v>0</v>
      </c>
      <c r="DG17" s="66">
        <f t="shared" si="43"/>
        <v>0</v>
      </c>
      <c r="DH17" s="66">
        <f t="shared" ref="DH17:DH38" si="72">L17-CI17</f>
        <v>0</v>
      </c>
      <c r="DI17" s="66">
        <f t="shared" ref="DI17:DI38" si="73">M17-CJ17</f>
        <v>0</v>
      </c>
      <c r="DJ17" s="66">
        <f t="shared" ref="DJ17:DJ38" si="74">N17-CK17</f>
        <v>0</v>
      </c>
      <c r="DK17" s="66">
        <f t="shared" ref="DK17:DK38" si="75">O17-CL17</f>
        <v>0</v>
      </c>
      <c r="DL17" s="66">
        <f t="shared" ref="DL17:DL38" si="76">P17-CM17</f>
        <v>0</v>
      </c>
      <c r="DM17" s="66">
        <f t="shared" ref="DM17:DM38" si="77">Q17-CN17</f>
        <v>0</v>
      </c>
      <c r="DN17" s="66">
        <f t="shared" ref="DN17:DN38" si="78">R17-CO17</f>
        <v>0</v>
      </c>
      <c r="DO17" s="66">
        <f t="shared" ref="DO17:DO38" si="79">S17-CP17</f>
        <v>0</v>
      </c>
      <c r="DP17" s="66">
        <f t="shared" ref="DP17:DP38" si="80">T17-CQ17</f>
        <v>0</v>
      </c>
      <c r="DQ17" s="66">
        <f t="shared" ref="DQ17:DQ38" si="81">U17-CR17</f>
        <v>0</v>
      </c>
      <c r="DR17" s="66">
        <f t="shared" ref="DR17:DR38" si="82">V17-CS17</f>
        <v>0</v>
      </c>
      <c r="DS17" s="66">
        <f t="shared" ref="DS17:DS38" si="83">W17-CT17</f>
        <v>0</v>
      </c>
      <c r="DT17" s="66">
        <f t="shared" ref="DT17:DT38" si="84">X17-CU17</f>
        <v>0</v>
      </c>
      <c r="DU17" s="66">
        <f t="shared" ref="DU17:DU38" si="85">Y17-CV17</f>
        <v>54000000</v>
      </c>
      <c r="DV17" s="66">
        <f t="shared" ref="DV17:DV38" si="86">Z17-CW17</f>
        <v>0</v>
      </c>
      <c r="DW17" s="66">
        <f t="shared" ref="DW17:DW38" si="87">AA17-CX17</f>
        <v>0</v>
      </c>
      <c r="DX17" s="66">
        <f t="shared" ref="DX17:DX38" si="88">AB17-CY17</f>
        <v>0</v>
      </c>
      <c r="DY17" s="66"/>
      <c r="DZ17" s="66">
        <f t="shared" ref="DZ17:DZ38" si="89">AD17-DA17</f>
        <v>41782362</v>
      </c>
      <c r="EB17" s="9">
        <f t="shared" si="34"/>
        <v>419000000</v>
      </c>
      <c r="EC17" s="9">
        <f t="shared" si="35"/>
        <v>419000000</v>
      </c>
      <c r="ED17" s="9">
        <f t="shared" si="36"/>
        <v>419000000</v>
      </c>
    </row>
    <row r="18" spans="1:136" ht="18.600000000000001" customHeight="1" x14ac:dyDescent="0.3">
      <c r="A18" s="128"/>
      <c r="B18" s="250"/>
      <c r="C18" s="121" t="s">
        <v>337</v>
      </c>
      <c r="D18" s="71" t="s">
        <v>336</v>
      </c>
      <c r="E18" s="87">
        <v>310</v>
      </c>
      <c r="F18" s="67" t="s">
        <v>283</v>
      </c>
      <c r="G18" s="66">
        <f t="shared" si="0"/>
        <v>45000000</v>
      </c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>
        <v>45000000</v>
      </c>
      <c r="Y18" s="66"/>
      <c r="Z18" s="66"/>
      <c r="AA18" s="66"/>
      <c r="AB18" s="66"/>
      <c r="AC18" s="66"/>
      <c r="AD18" s="66"/>
      <c r="AE18" s="22">
        <f t="shared" si="46"/>
        <v>0.93711111111111112</v>
      </c>
      <c r="AF18" s="66">
        <f t="shared" si="47"/>
        <v>42170000</v>
      </c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>
        <f>+'[6]MAYO 2019'!$Y$322</f>
        <v>42170000</v>
      </c>
      <c r="AX18" s="66"/>
      <c r="AY18" s="66"/>
      <c r="AZ18" s="66"/>
      <c r="BA18" s="66"/>
      <c r="BB18" s="66"/>
      <c r="BC18" s="66"/>
      <c r="BD18" s="22">
        <f t="shared" si="3"/>
        <v>6.2888888888888883E-2</v>
      </c>
      <c r="BE18" s="66">
        <f t="shared" si="4"/>
        <v>2830000</v>
      </c>
      <c r="BF18" s="66">
        <f t="shared" si="48"/>
        <v>0</v>
      </c>
      <c r="BG18" s="66">
        <f t="shared" si="49"/>
        <v>0</v>
      </c>
      <c r="BH18" s="66">
        <f t="shared" si="50"/>
        <v>0</v>
      </c>
      <c r="BI18" s="66">
        <f t="shared" si="39"/>
        <v>0</v>
      </c>
      <c r="BJ18" s="66">
        <f t="shared" si="51"/>
        <v>0</v>
      </c>
      <c r="BK18" s="66">
        <f t="shared" si="52"/>
        <v>0</v>
      </c>
      <c r="BL18" s="66">
        <f t="shared" si="53"/>
        <v>0</v>
      </c>
      <c r="BM18" s="66">
        <f t="shared" si="54"/>
        <v>0</v>
      </c>
      <c r="BN18" s="66">
        <f t="shared" si="55"/>
        <v>0</v>
      </c>
      <c r="BO18" s="66">
        <f t="shared" si="56"/>
        <v>0</v>
      </c>
      <c r="BP18" s="66">
        <f t="shared" si="57"/>
        <v>0</v>
      </c>
      <c r="BQ18" s="66">
        <f t="shared" si="58"/>
        <v>0</v>
      </c>
      <c r="BR18" s="66">
        <f t="shared" si="59"/>
        <v>0</v>
      </c>
      <c r="BS18" s="66">
        <f t="shared" si="60"/>
        <v>0</v>
      </c>
      <c r="BT18" s="66">
        <f t="shared" si="61"/>
        <v>0</v>
      </c>
      <c r="BU18" s="66">
        <f t="shared" si="62"/>
        <v>0</v>
      </c>
      <c r="BV18" s="66">
        <f t="shared" si="63"/>
        <v>2830000</v>
      </c>
      <c r="BW18" s="66">
        <f t="shared" si="64"/>
        <v>0</v>
      </c>
      <c r="BX18" s="66">
        <f t="shared" si="65"/>
        <v>0</v>
      </c>
      <c r="BY18" s="66">
        <f t="shared" si="66"/>
        <v>0</v>
      </c>
      <c r="BZ18" s="66">
        <f t="shared" si="67"/>
        <v>0</v>
      </c>
      <c r="CA18" s="66"/>
      <c r="CB18" s="66">
        <f t="shared" si="68"/>
        <v>0</v>
      </c>
      <c r="CC18" s="22">
        <f t="shared" si="8"/>
        <v>0.90322222222222226</v>
      </c>
      <c r="CD18" s="66">
        <f t="shared" si="9"/>
        <v>40645000</v>
      </c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66"/>
      <c r="CR18" s="66"/>
      <c r="CS18" s="66"/>
      <c r="CT18" s="66"/>
      <c r="CU18" s="66">
        <f>+'[7]AGOSTO 2019'!$H$581</f>
        <v>40645000</v>
      </c>
      <c r="CV18" s="66"/>
      <c r="CW18" s="66"/>
      <c r="CX18" s="66"/>
      <c r="CY18" s="66"/>
      <c r="CZ18" s="66"/>
      <c r="DA18" s="66"/>
      <c r="DB18" s="22">
        <f t="shared" si="10"/>
        <v>9.677777777777774E-2</v>
      </c>
      <c r="DC18" s="66">
        <f t="shared" si="11"/>
        <v>4355000</v>
      </c>
      <c r="DD18" s="66">
        <f t="shared" si="69"/>
        <v>0</v>
      </c>
      <c r="DE18" s="66">
        <f t="shared" si="70"/>
        <v>0</v>
      </c>
      <c r="DF18" s="66">
        <f t="shared" si="71"/>
        <v>0</v>
      </c>
      <c r="DG18" s="66">
        <f t="shared" si="43"/>
        <v>0</v>
      </c>
      <c r="DH18" s="66">
        <f t="shared" si="72"/>
        <v>0</v>
      </c>
      <c r="DI18" s="66">
        <f t="shared" si="73"/>
        <v>0</v>
      </c>
      <c r="DJ18" s="66">
        <f t="shared" si="74"/>
        <v>0</v>
      </c>
      <c r="DK18" s="66">
        <f t="shared" si="75"/>
        <v>0</v>
      </c>
      <c r="DL18" s="66">
        <f t="shared" si="76"/>
        <v>0</v>
      </c>
      <c r="DM18" s="66">
        <f t="shared" si="77"/>
        <v>0</v>
      </c>
      <c r="DN18" s="66">
        <f t="shared" si="78"/>
        <v>0</v>
      </c>
      <c r="DO18" s="66">
        <f t="shared" si="79"/>
        <v>0</v>
      </c>
      <c r="DP18" s="66">
        <f t="shared" si="80"/>
        <v>0</v>
      </c>
      <c r="DQ18" s="66">
        <f t="shared" si="81"/>
        <v>0</v>
      </c>
      <c r="DR18" s="66">
        <f t="shared" si="82"/>
        <v>0</v>
      </c>
      <c r="DS18" s="66">
        <f t="shared" si="83"/>
        <v>0</v>
      </c>
      <c r="DT18" s="66">
        <f t="shared" si="84"/>
        <v>4355000</v>
      </c>
      <c r="DU18" s="66">
        <f t="shared" si="85"/>
        <v>0</v>
      </c>
      <c r="DV18" s="66">
        <f t="shared" si="86"/>
        <v>0</v>
      </c>
      <c r="DW18" s="66">
        <f t="shared" si="87"/>
        <v>0</v>
      </c>
      <c r="DX18" s="66">
        <f t="shared" si="88"/>
        <v>0</v>
      </c>
      <c r="DY18" s="66"/>
      <c r="DZ18" s="66">
        <f t="shared" si="89"/>
        <v>0</v>
      </c>
      <c r="EB18" s="9">
        <f t="shared" si="34"/>
        <v>45000000</v>
      </c>
      <c r="EC18" s="9">
        <f t="shared" si="35"/>
        <v>45000000</v>
      </c>
      <c r="ED18" s="9">
        <f t="shared" si="36"/>
        <v>45000000</v>
      </c>
    </row>
    <row r="19" spans="1:136" ht="20.399999999999999" customHeight="1" x14ac:dyDescent="0.3">
      <c r="A19" s="128"/>
      <c r="B19" s="250"/>
      <c r="C19" s="121" t="s">
        <v>335</v>
      </c>
      <c r="D19" s="71" t="s">
        <v>334</v>
      </c>
      <c r="E19" s="87">
        <v>310</v>
      </c>
      <c r="F19" s="67" t="s">
        <v>283</v>
      </c>
      <c r="G19" s="66">
        <f t="shared" si="0"/>
        <v>4000000</v>
      </c>
      <c r="H19" s="35"/>
      <c r="I19" s="66"/>
      <c r="J19" s="66"/>
      <c r="K19" s="66"/>
      <c r="L19" s="66"/>
      <c r="M19" s="35"/>
      <c r="N19" s="66"/>
      <c r="O19" s="66"/>
      <c r="P19" s="35"/>
      <c r="Q19" s="35"/>
      <c r="R19" s="35"/>
      <c r="S19" s="35"/>
      <c r="T19" s="35"/>
      <c r="U19" s="35"/>
      <c r="V19" s="35"/>
      <c r="W19" s="35"/>
      <c r="X19" s="66">
        <v>4000000</v>
      </c>
      <c r="Y19" s="66"/>
      <c r="Z19" s="35"/>
      <c r="AA19" s="35"/>
      <c r="AB19" s="35"/>
      <c r="AC19" s="35"/>
      <c r="AD19" s="66"/>
      <c r="AE19" s="22">
        <f t="shared" si="46"/>
        <v>0</v>
      </c>
      <c r="AF19" s="66">
        <f t="shared" si="47"/>
        <v>0</v>
      </c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22">
        <f t="shared" si="3"/>
        <v>1</v>
      </c>
      <c r="BE19" s="66">
        <f t="shared" si="4"/>
        <v>4000000</v>
      </c>
      <c r="BF19" s="66">
        <f t="shared" si="48"/>
        <v>0</v>
      </c>
      <c r="BG19" s="66">
        <f t="shared" si="49"/>
        <v>0</v>
      </c>
      <c r="BH19" s="66">
        <f t="shared" si="50"/>
        <v>0</v>
      </c>
      <c r="BI19" s="66">
        <f t="shared" si="39"/>
        <v>0</v>
      </c>
      <c r="BJ19" s="66">
        <f t="shared" si="51"/>
        <v>0</v>
      </c>
      <c r="BK19" s="66">
        <f t="shared" si="52"/>
        <v>0</v>
      </c>
      <c r="BL19" s="66">
        <f t="shared" si="53"/>
        <v>0</v>
      </c>
      <c r="BM19" s="66">
        <f t="shared" si="54"/>
        <v>0</v>
      </c>
      <c r="BN19" s="66">
        <f t="shared" si="55"/>
        <v>0</v>
      </c>
      <c r="BO19" s="66">
        <f t="shared" si="56"/>
        <v>0</v>
      </c>
      <c r="BP19" s="66">
        <f t="shared" si="57"/>
        <v>0</v>
      </c>
      <c r="BQ19" s="66">
        <f t="shared" si="58"/>
        <v>0</v>
      </c>
      <c r="BR19" s="66">
        <f t="shared" si="59"/>
        <v>0</v>
      </c>
      <c r="BS19" s="66">
        <f t="shared" si="60"/>
        <v>0</v>
      </c>
      <c r="BT19" s="66">
        <f t="shared" si="61"/>
        <v>0</v>
      </c>
      <c r="BU19" s="66">
        <f t="shared" si="62"/>
        <v>0</v>
      </c>
      <c r="BV19" s="66">
        <f t="shared" si="63"/>
        <v>4000000</v>
      </c>
      <c r="BW19" s="66">
        <f t="shared" si="64"/>
        <v>0</v>
      </c>
      <c r="BX19" s="66">
        <f t="shared" si="65"/>
        <v>0</v>
      </c>
      <c r="BY19" s="66">
        <f t="shared" si="66"/>
        <v>0</v>
      </c>
      <c r="BZ19" s="66">
        <f t="shared" si="67"/>
        <v>0</v>
      </c>
      <c r="CA19" s="66"/>
      <c r="CB19" s="66">
        <f t="shared" si="68"/>
        <v>0</v>
      </c>
      <c r="CC19" s="22">
        <f t="shared" si="8"/>
        <v>0</v>
      </c>
      <c r="CD19" s="66">
        <f t="shared" si="9"/>
        <v>0</v>
      </c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66"/>
      <c r="CR19" s="66"/>
      <c r="CS19" s="66"/>
      <c r="CT19" s="66"/>
      <c r="CU19" s="66"/>
      <c r="CV19" s="66"/>
      <c r="CW19" s="66"/>
      <c r="CX19" s="66"/>
      <c r="CY19" s="66"/>
      <c r="CZ19" s="66"/>
      <c r="DA19" s="66"/>
      <c r="DB19" s="22">
        <f t="shared" si="10"/>
        <v>1</v>
      </c>
      <c r="DC19" s="66">
        <f t="shared" si="11"/>
        <v>4000000</v>
      </c>
      <c r="DD19" s="66">
        <f t="shared" si="69"/>
        <v>0</v>
      </c>
      <c r="DE19" s="66">
        <f t="shared" si="70"/>
        <v>0</v>
      </c>
      <c r="DF19" s="66">
        <f t="shared" si="71"/>
        <v>0</v>
      </c>
      <c r="DG19" s="66">
        <f t="shared" si="43"/>
        <v>0</v>
      </c>
      <c r="DH19" s="66">
        <f t="shared" si="72"/>
        <v>0</v>
      </c>
      <c r="DI19" s="66">
        <f t="shared" si="73"/>
        <v>0</v>
      </c>
      <c r="DJ19" s="66">
        <f t="shared" si="74"/>
        <v>0</v>
      </c>
      <c r="DK19" s="66">
        <f t="shared" si="75"/>
        <v>0</v>
      </c>
      <c r="DL19" s="66">
        <f t="shared" si="76"/>
        <v>0</v>
      </c>
      <c r="DM19" s="66">
        <f t="shared" si="77"/>
        <v>0</v>
      </c>
      <c r="DN19" s="66">
        <f t="shared" si="78"/>
        <v>0</v>
      </c>
      <c r="DO19" s="66">
        <f t="shared" si="79"/>
        <v>0</v>
      </c>
      <c r="DP19" s="66">
        <f t="shared" si="80"/>
        <v>0</v>
      </c>
      <c r="DQ19" s="66">
        <f t="shared" si="81"/>
        <v>0</v>
      </c>
      <c r="DR19" s="66">
        <f t="shared" si="82"/>
        <v>0</v>
      </c>
      <c r="DS19" s="66">
        <f t="shared" si="83"/>
        <v>0</v>
      </c>
      <c r="DT19" s="66">
        <f t="shared" si="84"/>
        <v>4000000</v>
      </c>
      <c r="DU19" s="66">
        <f t="shared" si="85"/>
        <v>0</v>
      </c>
      <c r="DV19" s="66">
        <f t="shared" si="86"/>
        <v>0</v>
      </c>
      <c r="DW19" s="66">
        <f t="shared" si="87"/>
        <v>0</v>
      </c>
      <c r="DX19" s="66">
        <f t="shared" si="88"/>
        <v>0</v>
      </c>
      <c r="DY19" s="66"/>
      <c r="DZ19" s="66">
        <f t="shared" si="89"/>
        <v>0</v>
      </c>
      <c r="EB19" s="9">
        <f t="shared" si="34"/>
        <v>4000000</v>
      </c>
      <c r="EC19" s="9">
        <f t="shared" si="35"/>
        <v>4000000</v>
      </c>
      <c r="ED19" s="9">
        <f t="shared" si="36"/>
        <v>4000000</v>
      </c>
    </row>
    <row r="20" spans="1:136" ht="28.8" customHeight="1" x14ac:dyDescent="0.3">
      <c r="A20" s="128"/>
      <c r="B20" s="251"/>
      <c r="C20" s="121" t="s">
        <v>333</v>
      </c>
      <c r="D20" s="69" t="s">
        <v>332</v>
      </c>
      <c r="E20" s="87">
        <v>310</v>
      </c>
      <c r="F20" s="127" t="s">
        <v>331</v>
      </c>
      <c r="G20" s="66">
        <f t="shared" si="0"/>
        <v>42000000</v>
      </c>
      <c r="H20" s="35"/>
      <c r="I20" s="66"/>
      <c r="J20" s="66"/>
      <c r="K20" s="66"/>
      <c r="L20" s="66"/>
      <c r="M20" s="35"/>
      <c r="N20" s="66"/>
      <c r="O20" s="66"/>
      <c r="P20" s="35"/>
      <c r="Q20" s="35"/>
      <c r="R20" s="35"/>
      <c r="S20" s="35"/>
      <c r="T20" s="35"/>
      <c r="U20" s="35"/>
      <c r="V20" s="35"/>
      <c r="W20" s="35"/>
      <c r="X20" s="66">
        <v>27000000</v>
      </c>
      <c r="Y20" s="66"/>
      <c r="Z20" s="35"/>
      <c r="AA20" s="35"/>
      <c r="AB20" s="35"/>
      <c r="AC20" s="35"/>
      <c r="AD20" s="66">
        <v>15000000</v>
      </c>
      <c r="AE20" s="22">
        <f t="shared" si="46"/>
        <v>0.8571428571428571</v>
      </c>
      <c r="AF20" s="66">
        <f t="shared" si="47"/>
        <v>36000000</v>
      </c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>
        <f>+'[8]FEBRERO 2019'!$Y$159</f>
        <v>27000000</v>
      </c>
      <c r="AX20" s="66"/>
      <c r="AY20" s="66"/>
      <c r="AZ20" s="66"/>
      <c r="BA20" s="66"/>
      <c r="BB20" s="66"/>
      <c r="BC20" s="66">
        <f>+'[9]ENERO 2019'!$AF$154</f>
        <v>9000000</v>
      </c>
      <c r="BD20" s="22">
        <f t="shared" si="3"/>
        <v>0.1428571428571429</v>
      </c>
      <c r="BE20" s="66">
        <f t="shared" si="4"/>
        <v>6000000</v>
      </c>
      <c r="BF20" s="66">
        <f t="shared" si="48"/>
        <v>0</v>
      </c>
      <c r="BG20" s="66">
        <f t="shared" si="49"/>
        <v>0</v>
      </c>
      <c r="BH20" s="66">
        <f t="shared" si="50"/>
        <v>0</v>
      </c>
      <c r="BI20" s="66">
        <f t="shared" si="39"/>
        <v>0</v>
      </c>
      <c r="BJ20" s="66">
        <f t="shared" si="51"/>
        <v>0</v>
      </c>
      <c r="BK20" s="66">
        <f t="shared" si="52"/>
        <v>0</v>
      </c>
      <c r="BL20" s="66">
        <f t="shared" si="53"/>
        <v>0</v>
      </c>
      <c r="BM20" s="66">
        <f t="shared" si="54"/>
        <v>0</v>
      </c>
      <c r="BN20" s="66">
        <f t="shared" si="55"/>
        <v>0</v>
      </c>
      <c r="BO20" s="66">
        <f t="shared" si="56"/>
        <v>0</v>
      </c>
      <c r="BP20" s="66">
        <f t="shared" si="57"/>
        <v>0</v>
      </c>
      <c r="BQ20" s="66">
        <f t="shared" si="58"/>
        <v>0</v>
      </c>
      <c r="BR20" s="66">
        <f t="shared" si="59"/>
        <v>0</v>
      </c>
      <c r="BS20" s="66">
        <f t="shared" si="60"/>
        <v>0</v>
      </c>
      <c r="BT20" s="66">
        <f t="shared" si="61"/>
        <v>0</v>
      </c>
      <c r="BU20" s="66">
        <f t="shared" si="62"/>
        <v>0</v>
      </c>
      <c r="BV20" s="66">
        <f t="shared" si="63"/>
        <v>0</v>
      </c>
      <c r="BW20" s="66">
        <f t="shared" si="64"/>
        <v>0</v>
      </c>
      <c r="BX20" s="66">
        <f t="shared" si="65"/>
        <v>0</v>
      </c>
      <c r="BY20" s="66">
        <f t="shared" si="66"/>
        <v>0</v>
      </c>
      <c r="BZ20" s="66">
        <f t="shared" si="67"/>
        <v>0</v>
      </c>
      <c r="CA20" s="66"/>
      <c r="CB20" s="66">
        <f t="shared" si="68"/>
        <v>6000000</v>
      </c>
      <c r="CC20" s="22">
        <f t="shared" si="8"/>
        <v>0.27792259523809526</v>
      </c>
      <c r="CD20" s="66">
        <f t="shared" si="9"/>
        <v>11672749</v>
      </c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>
        <f>+'[1]OCTUBRE 2019'!$H$934</f>
        <v>11672749</v>
      </c>
      <c r="CV20" s="66"/>
      <c r="CW20" s="66"/>
      <c r="CX20" s="66"/>
      <c r="CY20" s="66"/>
      <c r="CZ20" s="66"/>
      <c r="DA20" s="66"/>
      <c r="DB20" s="22">
        <f t="shared" si="10"/>
        <v>0.72207740476190474</v>
      </c>
      <c r="DC20" s="66">
        <f t="shared" si="11"/>
        <v>30327251</v>
      </c>
      <c r="DD20" s="66">
        <f t="shared" si="69"/>
        <v>0</v>
      </c>
      <c r="DE20" s="66">
        <f t="shared" si="70"/>
        <v>0</v>
      </c>
      <c r="DF20" s="66">
        <f t="shared" si="71"/>
        <v>0</v>
      </c>
      <c r="DG20" s="66">
        <f t="shared" si="43"/>
        <v>0</v>
      </c>
      <c r="DH20" s="66">
        <f t="shared" si="72"/>
        <v>0</v>
      </c>
      <c r="DI20" s="66">
        <f t="shared" si="73"/>
        <v>0</v>
      </c>
      <c r="DJ20" s="66">
        <f t="shared" si="74"/>
        <v>0</v>
      </c>
      <c r="DK20" s="66">
        <f t="shared" si="75"/>
        <v>0</v>
      </c>
      <c r="DL20" s="66">
        <f t="shared" si="76"/>
        <v>0</v>
      </c>
      <c r="DM20" s="66">
        <f t="shared" si="77"/>
        <v>0</v>
      </c>
      <c r="DN20" s="66">
        <f t="shared" si="78"/>
        <v>0</v>
      </c>
      <c r="DO20" s="66">
        <f t="shared" si="79"/>
        <v>0</v>
      </c>
      <c r="DP20" s="66">
        <f t="shared" si="80"/>
        <v>0</v>
      </c>
      <c r="DQ20" s="66">
        <f t="shared" si="81"/>
        <v>0</v>
      </c>
      <c r="DR20" s="66">
        <f t="shared" si="82"/>
        <v>0</v>
      </c>
      <c r="DS20" s="66">
        <f t="shared" si="83"/>
        <v>0</v>
      </c>
      <c r="DT20" s="66">
        <f t="shared" si="84"/>
        <v>15327251</v>
      </c>
      <c r="DU20" s="66">
        <f t="shared" si="85"/>
        <v>0</v>
      </c>
      <c r="DV20" s="66">
        <f t="shared" si="86"/>
        <v>0</v>
      </c>
      <c r="DW20" s="66">
        <f t="shared" si="87"/>
        <v>0</v>
      </c>
      <c r="DX20" s="66">
        <f t="shared" si="88"/>
        <v>0</v>
      </c>
      <c r="DY20" s="66"/>
      <c r="DZ20" s="66">
        <f t="shared" si="89"/>
        <v>15000000</v>
      </c>
      <c r="EB20" s="9">
        <f t="shared" si="34"/>
        <v>42000000</v>
      </c>
      <c r="EC20" s="9">
        <f t="shared" si="35"/>
        <v>42000000</v>
      </c>
      <c r="ED20" s="9">
        <f t="shared" si="36"/>
        <v>42000000</v>
      </c>
    </row>
    <row r="21" spans="1:136" ht="28.8" customHeight="1" x14ac:dyDescent="0.3">
      <c r="A21" s="128"/>
      <c r="B21" s="238" t="s">
        <v>330</v>
      </c>
      <c r="C21" s="101" t="s">
        <v>329</v>
      </c>
      <c r="D21" s="71" t="s">
        <v>328</v>
      </c>
      <c r="E21" s="87">
        <v>510</v>
      </c>
      <c r="F21" s="67" t="s">
        <v>283</v>
      </c>
      <c r="G21" s="66">
        <f t="shared" si="0"/>
        <v>100644090</v>
      </c>
      <c r="H21" s="66"/>
      <c r="I21" s="66">
        <v>80000000</v>
      </c>
      <c r="J21" s="66">
        <v>20644090</v>
      </c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22">
        <f t="shared" si="46"/>
        <v>0.94596086069236651</v>
      </c>
      <c r="AF21" s="66">
        <f t="shared" si="47"/>
        <v>95205370</v>
      </c>
      <c r="AG21" s="66"/>
      <c r="AH21" s="66">
        <f>+'[7]AGOSTO 2019'!$K$2629</f>
        <v>80000000</v>
      </c>
      <c r="AI21" s="66">
        <f>+'[3]JULIO 2019'!$M$2318</f>
        <v>15205370</v>
      </c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  <c r="AZ21" s="66"/>
      <c r="BA21" s="66"/>
      <c r="BB21" s="66"/>
      <c r="BC21" s="66"/>
      <c r="BD21" s="22">
        <f t="shared" si="3"/>
        <v>5.4039139307633488E-2</v>
      </c>
      <c r="BE21" s="66">
        <f t="shared" si="4"/>
        <v>5438720</v>
      </c>
      <c r="BF21" s="66">
        <f t="shared" si="48"/>
        <v>0</v>
      </c>
      <c r="BG21" s="66">
        <f t="shared" si="49"/>
        <v>0</v>
      </c>
      <c r="BH21" s="66">
        <f t="shared" si="50"/>
        <v>5438720</v>
      </c>
      <c r="BI21" s="66">
        <f t="shared" si="39"/>
        <v>0</v>
      </c>
      <c r="BJ21" s="66">
        <f t="shared" si="51"/>
        <v>0</v>
      </c>
      <c r="BK21" s="66">
        <f t="shared" si="52"/>
        <v>0</v>
      </c>
      <c r="BL21" s="66">
        <f t="shared" si="53"/>
        <v>0</v>
      </c>
      <c r="BM21" s="66">
        <f t="shared" si="54"/>
        <v>0</v>
      </c>
      <c r="BN21" s="66">
        <f t="shared" si="55"/>
        <v>0</v>
      </c>
      <c r="BO21" s="66">
        <f t="shared" si="56"/>
        <v>0</v>
      </c>
      <c r="BP21" s="66">
        <f t="shared" si="57"/>
        <v>0</v>
      </c>
      <c r="BQ21" s="66">
        <f t="shared" si="58"/>
        <v>0</v>
      </c>
      <c r="BR21" s="66">
        <f t="shared" si="59"/>
        <v>0</v>
      </c>
      <c r="BS21" s="66">
        <f t="shared" si="60"/>
        <v>0</v>
      </c>
      <c r="BT21" s="66">
        <f t="shared" si="61"/>
        <v>0</v>
      </c>
      <c r="BU21" s="66">
        <f t="shared" si="62"/>
        <v>0</v>
      </c>
      <c r="BV21" s="66">
        <f t="shared" si="63"/>
        <v>0</v>
      </c>
      <c r="BW21" s="66">
        <f t="shared" si="64"/>
        <v>0</v>
      </c>
      <c r="BX21" s="66">
        <f t="shared" si="65"/>
        <v>0</v>
      </c>
      <c r="BY21" s="66">
        <f t="shared" si="66"/>
        <v>0</v>
      </c>
      <c r="BZ21" s="66">
        <f t="shared" si="67"/>
        <v>0</v>
      </c>
      <c r="CA21" s="66"/>
      <c r="CB21" s="66">
        <f t="shared" si="68"/>
        <v>0</v>
      </c>
      <c r="CC21" s="22">
        <f t="shared" si="8"/>
        <v>0.81434856234479347</v>
      </c>
      <c r="CD21" s="66">
        <f t="shared" si="9"/>
        <v>81959370</v>
      </c>
      <c r="CE21" s="66"/>
      <c r="CF21" s="66">
        <f>+'[7]AGOSTO 2019'!$H$2630+'[7]AGOSTO 2019'!$H$2638+'[7]AGOSTO 2019'!$H$2641+'[7]AGOSTO 2019'!$H$2643+'[7]AGOSTO 2019'!$H$2649</f>
        <v>79000000</v>
      </c>
      <c r="CG21" s="66">
        <f>+'[7]AGOSTO 2019'!$H$2673</f>
        <v>2959370</v>
      </c>
      <c r="CH21" s="66"/>
      <c r="CI21" s="66"/>
      <c r="CJ21" s="66"/>
      <c r="CK21" s="66"/>
      <c r="CL21" s="66"/>
      <c r="CM21" s="66"/>
      <c r="CN21" s="66"/>
      <c r="CO21" s="66"/>
      <c r="CP21" s="66"/>
      <c r="CQ21" s="66"/>
      <c r="CR21" s="66"/>
      <c r="CS21" s="66"/>
      <c r="CT21" s="66"/>
      <c r="CU21" s="66"/>
      <c r="CV21" s="66"/>
      <c r="CW21" s="66"/>
      <c r="CX21" s="66"/>
      <c r="CY21" s="66"/>
      <c r="CZ21" s="66"/>
      <c r="DA21" s="66"/>
      <c r="DB21" s="22">
        <f t="shared" si="10"/>
        <v>0.18565143765520653</v>
      </c>
      <c r="DC21" s="66">
        <f t="shared" si="11"/>
        <v>18684720</v>
      </c>
      <c r="DD21" s="66">
        <f t="shared" si="69"/>
        <v>0</v>
      </c>
      <c r="DE21" s="66">
        <f t="shared" si="70"/>
        <v>1000000</v>
      </c>
      <c r="DF21" s="66">
        <f t="shared" si="71"/>
        <v>17684720</v>
      </c>
      <c r="DG21" s="66">
        <f t="shared" si="43"/>
        <v>0</v>
      </c>
      <c r="DH21" s="66">
        <f t="shared" si="72"/>
        <v>0</v>
      </c>
      <c r="DI21" s="66">
        <f t="shared" si="73"/>
        <v>0</v>
      </c>
      <c r="DJ21" s="66">
        <f t="shared" si="74"/>
        <v>0</v>
      </c>
      <c r="DK21" s="66">
        <f t="shared" si="75"/>
        <v>0</v>
      </c>
      <c r="DL21" s="66">
        <f t="shared" si="76"/>
        <v>0</v>
      </c>
      <c r="DM21" s="66">
        <f t="shared" si="77"/>
        <v>0</v>
      </c>
      <c r="DN21" s="66">
        <f t="shared" si="78"/>
        <v>0</v>
      </c>
      <c r="DO21" s="66">
        <f t="shared" si="79"/>
        <v>0</v>
      </c>
      <c r="DP21" s="66">
        <f t="shared" si="80"/>
        <v>0</v>
      </c>
      <c r="DQ21" s="66">
        <f t="shared" si="81"/>
        <v>0</v>
      </c>
      <c r="DR21" s="66">
        <f t="shared" si="82"/>
        <v>0</v>
      </c>
      <c r="DS21" s="66">
        <f t="shared" si="83"/>
        <v>0</v>
      </c>
      <c r="DT21" s="66">
        <f t="shared" si="84"/>
        <v>0</v>
      </c>
      <c r="DU21" s="66">
        <f t="shared" si="85"/>
        <v>0</v>
      </c>
      <c r="DV21" s="66">
        <f t="shared" si="86"/>
        <v>0</v>
      </c>
      <c r="DW21" s="66">
        <f t="shared" si="87"/>
        <v>0</v>
      </c>
      <c r="DX21" s="66">
        <f t="shared" si="88"/>
        <v>0</v>
      </c>
      <c r="DY21" s="66"/>
      <c r="DZ21" s="66">
        <f t="shared" si="89"/>
        <v>0</v>
      </c>
      <c r="EB21" s="9">
        <f t="shared" si="34"/>
        <v>100644090</v>
      </c>
      <c r="EC21" s="9">
        <f t="shared" si="35"/>
        <v>100644090</v>
      </c>
      <c r="ED21" s="9">
        <f t="shared" si="36"/>
        <v>100644090</v>
      </c>
    </row>
    <row r="22" spans="1:136" ht="29.4" customHeight="1" x14ac:dyDescent="0.3">
      <c r="A22" s="128"/>
      <c r="B22" s="239"/>
      <c r="C22" s="121" t="s">
        <v>327</v>
      </c>
      <c r="D22" s="71" t="s">
        <v>326</v>
      </c>
      <c r="E22" s="87">
        <v>510</v>
      </c>
      <c r="F22" s="67" t="s">
        <v>283</v>
      </c>
      <c r="G22" s="66">
        <f t="shared" si="0"/>
        <v>100000000</v>
      </c>
      <c r="H22" s="66"/>
      <c r="I22" s="66">
        <v>80000000</v>
      </c>
      <c r="J22" s="66">
        <v>20000000</v>
      </c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22">
        <f t="shared" si="46"/>
        <v>1</v>
      </c>
      <c r="AF22" s="66">
        <f t="shared" si="47"/>
        <v>100000000</v>
      </c>
      <c r="AG22" s="66"/>
      <c r="AH22" s="66">
        <f>+'[8]FEBRERO 2019'!$K$965</f>
        <v>80000000</v>
      </c>
      <c r="AI22" s="66">
        <f>+'[1]OCTUBRE 2019'!$N$3530</f>
        <v>20000000</v>
      </c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22">
        <f t="shared" si="3"/>
        <v>0</v>
      </c>
      <c r="BE22" s="66">
        <f t="shared" si="4"/>
        <v>0</v>
      </c>
      <c r="BF22" s="66">
        <f t="shared" si="48"/>
        <v>0</v>
      </c>
      <c r="BG22" s="66">
        <f t="shared" si="49"/>
        <v>0</v>
      </c>
      <c r="BH22" s="66">
        <f t="shared" si="50"/>
        <v>0</v>
      </c>
      <c r="BI22" s="66">
        <f t="shared" si="39"/>
        <v>0</v>
      </c>
      <c r="BJ22" s="66">
        <f t="shared" si="51"/>
        <v>0</v>
      </c>
      <c r="BK22" s="66">
        <f t="shared" si="52"/>
        <v>0</v>
      </c>
      <c r="BL22" s="66">
        <f t="shared" si="53"/>
        <v>0</v>
      </c>
      <c r="BM22" s="66">
        <f t="shared" si="54"/>
        <v>0</v>
      </c>
      <c r="BN22" s="66">
        <f t="shared" si="55"/>
        <v>0</v>
      </c>
      <c r="BO22" s="66">
        <f t="shared" si="56"/>
        <v>0</v>
      </c>
      <c r="BP22" s="66">
        <f t="shared" si="57"/>
        <v>0</v>
      </c>
      <c r="BQ22" s="66">
        <f t="shared" si="58"/>
        <v>0</v>
      </c>
      <c r="BR22" s="66">
        <f t="shared" si="59"/>
        <v>0</v>
      </c>
      <c r="BS22" s="66">
        <f t="shared" si="60"/>
        <v>0</v>
      </c>
      <c r="BT22" s="66">
        <f t="shared" si="61"/>
        <v>0</v>
      </c>
      <c r="BU22" s="66">
        <f t="shared" si="62"/>
        <v>0</v>
      </c>
      <c r="BV22" s="66">
        <f t="shared" si="63"/>
        <v>0</v>
      </c>
      <c r="BW22" s="66">
        <f t="shared" si="64"/>
        <v>0</v>
      </c>
      <c r="BX22" s="66">
        <f t="shared" si="65"/>
        <v>0</v>
      </c>
      <c r="BY22" s="66">
        <f t="shared" si="66"/>
        <v>0</v>
      </c>
      <c r="BZ22" s="66">
        <f t="shared" si="67"/>
        <v>0</v>
      </c>
      <c r="CA22" s="66"/>
      <c r="CB22" s="66">
        <f t="shared" si="68"/>
        <v>0</v>
      </c>
      <c r="CC22" s="22">
        <f t="shared" si="8"/>
        <v>0.83450000000000002</v>
      </c>
      <c r="CD22" s="66">
        <f t="shared" si="9"/>
        <v>83450000</v>
      </c>
      <c r="CE22" s="66"/>
      <c r="CF22" s="66">
        <f>+'[2]SEPTIEMBRE 2019'!$H$3141+'[2]SEPTIEMBRE 2019'!$H$3148+'[2]SEPTIEMBRE 2019'!$H$3165+'[2]SEPTIEMBRE 2019'!$H$3168+'[2]SEPTIEMBRE 2019'!$H$3171</f>
        <v>74000000</v>
      </c>
      <c r="CG22" s="66">
        <f>+'[1]OCTUBRE 2019'!$H$3565</f>
        <v>9450000</v>
      </c>
      <c r="CH22" s="66"/>
      <c r="CI22" s="66"/>
      <c r="CJ22" s="66"/>
      <c r="CK22" s="66"/>
      <c r="CL22" s="66"/>
      <c r="CM22" s="66"/>
      <c r="CN22" s="66"/>
      <c r="CO22" s="66"/>
      <c r="CP22" s="66"/>
      <c r="CQ22" s="66"/>
      <c r="CR22" s="66"/>
      <c r="CS22" s="66"/>
      <c r="CT22" s="66"/>
      <c r="CU22" s="66"/>
      <c r="CV22" s="66"/>
      <c r="CW22" s="66"/>
      <c r="CX22" s="66"/>
      <c r="CY22" s="66"/>
      <c r="CZ22" s="66"/>
      <c r="DA22" s="66"/>
      <c r="DB22" s="22">
        <f t="shared" si="10"/>
        <v>0.16549999999999998</v>
      </c>
      <c r="DC22" s="66">
        <f t="shared" si="11"/>
        <v>16550000</v>
      </c>
      <c r="DD22" s="66">
        <f t="shared" si="69"/>
        <v>0</v>
      </c>
      <c r="DE22" s="66">
        <f t="shared" si="70"/>
        <v>6000000</v>
      </c>
      <c r="DF22" s="66">
        <f t="shared" si="71"/>
        <v>10550000</v>
      </c>
      <c r="DG22" s="66">
        <f t="shared" si="43"/>
        <v>0</v>
      </c>
      <c r="DH22" s="66">
        <f t="shared" si="72"/>
        <v>0</v>
      </c>
      <c r="DI22" s="66">
        <f t="shared" si="73"/>
        <v>0</v>
      </c>
      <c r="DJ22" s="66">
        <f t="shared" si="74"/>
        <v>0</v>
      </c>
      <c r="DK22" s="66">
        <f t="shared" si="75"/>
        <v>0</v>
      </c>
      <c r="DL22" s="66">
        <f t="shared" si="76"/>
        <v>0</v>
      </c>
      <c r="DM22" s="66">
        <f t="shared" si="77"/>
        <v>0</v>
      </c>
      <c r="DN22" s="66">
        <f t="shared" si="78"/>
        <v>0</v>
      </c>
      <c r="DO22" s="66">
        <f t="shared" si="79"/>
        <v>0</v>
      </c>
      <c r="DP22" s="66">
        <f t="shared" si="80"/>
        <v>0</v>
      </c>
      <c r="DQ22" s="66">
        <f t="shared" si="81"/>
        <v>0</v>
      </c>
      <c r="DR22" s="66">
        <f t="shared" si="82"/>
        <v>0</v>
      </c>
      <c r="DS22" s="66">
        <f t="shared" si="83"/>
        <v>0</v>
      </c>
      <c r="DT22" s="66">
        <f t="shared" si="84"/>
        <v>0</v>
      </c>
      <c r="DU22" s="66">
        <f t="shared" si="85"/>
        <v>0</v>
      </c>
      <c r="DV22" s="66">
        <f t="shared" si="86"/>
        <v>0</v>
      </c>
      <c r="DW22" s="66">
        <f t="shared" si="87"/>
        <v>0</v>
      </c>
      <c r="DX22" s="66">
        <f t="shared" si="88"/>
        <v>0</v>
      </c>
      <c r="DY22" s="66"/>
      <c r="DZ22" s="66">
        <f t="shared" si="89"/>
        <v>0</v>
      </c>
      <c r="EB22" s="9">
        <f t="shared" si="34"/>
        <v>100000000</v>
      </c>
      <c r="EC22" s="9">
        <f t="shared" si="35"/>
        <v>100000000</v>
      </c>
      <c r="ED22" s="9">
        <f t="shared" si="36"/>
        <v>100000000</v>
      </c>
    </row>
    <row r="23" spans="1:136" ht="42" customHeight="1" x14ac:dyDescent="0.3">
      <c r="A23" s="128"/>
      <c r="B23" s="239"/>
      <c r="C23" s="121" t="s">
        <v>325</v>
      </c>
      <c r="D23" s="71" t="s">
        <v>324</v>
      </c>
      <c r="E23" s="87">
        <v>510</v>
      </c>
      <c r="F23" s="67" t="s">
        <v>283</v>
      </c>
      <c r="G23" s="66">
        <f t="shared" si="0"/>
        <v>100000000</v>
      </c>
      <c r="H23" s="66"/>
      <c r="I23" s="66">
        <v>80000000</v>
      </c>
      <c r="J23" s="66">
        <v>20000000</v>
      </c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22">
        <f t="shared" si="46"/>
        <v>1</v>
      </c>
      <c r="AF23" s="66">
        <f t="shared" si="47"/>
        <v>100000000</v>
      </c>
      <c r="AG23" s="66"/>
      <c r="AH23" s="66">
        <f>+'[5]MARZO 2019'!$K$1158</f>
        <v>80000000</v>
      </c>
      <c r="AI23" s="66">
        <f>+'[3]JULIO 2019'!$M$2379</f>
        <v>20000000</v>
      </c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22">
        <f t="shared" si="3"/>
        <v>0</v>
      </c>
      <c r="BE23" s="66">
        <f t="shared" si="4"/>
        <v>0</v>
      </c>
      <c r="BF23" s="66">
        <f t="shared" si="48"/>
        <v>0</v>
      </c>
      <c r="BG23" s="66">
        <f t="shared" si="49"/>
        <v>0</v>
      </c>
      <c r="BH23" s="66">
        <f t="shared" si="50"/>
        <v>0</v>
      </c>
      <c r="BI23" s="66">
        <f t="shared" si="39"/>
        <v>0</v>
      </c>
      <c r="BJ23" s="66">
        <f t="shared" si="51"/>
        <v>0</v>
      </c>
      <c r="BK23" s="66">
        <f t="shared" si="52"/>
        <v>0</v>
      </c>
      <c r="BL23" s="66">
        <f t="shared" si="53"/>
        <v>0</v>
      </c>
      <c r="BM23" s="66">
        <f t="shared" si="54"/>
        <v>0</v>
      </c>
      <c r="BN23" s="66">
        <f t="shared" si="55"/>
        <v>0</v>
      </c>
      <c r="BO23" s="66">
        <f t="shared" si="56"/>
        <v>0</v>
      </c>
      <c r="BP23" s="66">
        <f t="shared" si="57"/>
        <v>0</v>
      </c>
      <c r="BQ23" s="66">
        <f t="shared" si="58"/>
        <v>0</v>
      </c>
      <c r="BR23" s="66">
        <f t="shared" si="59"/>
        <v>0</v>
      </c>
      <c r="BS23" s="66">
        <f t="shared" si="60"/>
        <v>0</v>
      </c>
      <c r="BT23" s="66">
        <f t="shared" si="61"/>
        <v>0</v>
      </c>
      <c r="BU23" s="66">
        <f t="shared" si="62"/>
        <v>0</v>
      </c>
      <c r="BV23" s="66">
        <f t="shared" si="63"/>
        <v>0</v>
      </c>
      <c r="BW23" s="66">
        <f t="shared" si="64"/>
        <v>0</v>
      </c>
      <c r="BX23" s="66">
        <f t="shared" si="65"/>
        <v>0</v>
      </c>
      <c r="BY23" s="66">
        <f t="shared" si="66"/>
        <v>0</v>
      </c>
      <c r="BZ23" s="66">
        <f t="shared" si="67"/>
        <v>0</v>
      </c>
      <c r="CA23" s="66"/>
      <c r="CB23" s="66">
        <f t="shared" si="68"/>
        <v>0</v>
      </c>
      <c r="CC23" s="22">
        <f t="shared" si="8"/>
        <v>0.89114998999999995</v>
      </c>
      <c r="CD23" s="66">
        <f t="shared" si="9"/>
        <v>89114999</v>
      </c>
      <c r="CE23" s="66"/>
      <c r="CF23" s="66">
        <f>+'[3]JULIO 2019'!$H$2380+'[3]JULIO 2019'!$H$2389+'[3]JULIO 2019'!$H$2391-1</f>
        <v>73114999</v>
      </c>
      <c r="CG23" s="66">
        <f>+'[3]JULIO 2019'!$H$2395</f>
        <v>16000000</v>
      </c>
      <c r="CH23" s="66"/>
      <c r="CI23" s="66"/>
      <c r="CJ23" s="66"/>
      <c r="CK23" s="66"/>
      <c r="CL23" s="66"/>
      <c r="CM23" s="66"/>
      <c r="CN23" s="66"/>
      <c r="CO23" s="66"/>
      <c r="CP23" s="66"/>
      <c r="CQ23" s="66"/>
      <c r="CR23" s="66"/>
      <c r="CS23" s="66"/>
      <c r="CT23" s="66"/>
      <c r="CU23" s="66"/>
      <c r="CV23" s="66"/>
      <c r="CW23" s="66"/>
      <c r="CX23" s="66"/>
      <c r="CY23" s="66"/>
      <c r="CZ23" s="66"/>
      <c r="DA23" s="66"/>
      <c r="DB23" s="22">
        <f t="shared" si="10"/>
        <v>0.10885001000000005</v>
      </c>
      <c r="DC23" s="66">
        <f t="shared" si="11"/>
        <v>10885001</v>
      </c>
      <c r="DD23" s="66">
        <f t="shared" si="69"/>
        <v>0</v>
      </c>
      <c r="DE23" s="66">
        <f t="shared" si="70"/>
        <v>6885001</v>
      </c>
      <c r="DF23" s="66">
        <f t="shared" si="71"/>
        <v>4000000</v>
      </c>
      <c r="DG23" s="66">
        <f t="shared" si="43"/>
        <v>0</v>
      </c>
      <c r="DH23" s="66">
        <f t="shared" si="72"/>
        <v>0</v>
      </c>
      <c r="DI23" s="66">
        <f t="shared" si="73"/>
        <v>0</v>
      </c>
      <c r="DJ23" s="66">
        <f t="shared" si="74"/>
        <v>0</v>
      </c>
      <c r="DK23" s="66">
        <f t="shared" si="75"/>
        <v>0</v>
      </c>
      <c r="DL23" s="66">
        <f t="shared" si="76"/>
        <v>0</v>
      </c>
      <c r="DM23" s="66">
        <f t="shared" si="77"/>
        <v>0</v>
      </c>
      <c r="DN23" s="66">
        <f t="shared" si="78"/>
        <v>0</v>
      </c>
      <c r="DO23" s="66">
        <f t="shared" si="79"/>
        <v>0</v>
      </c>
      <c r="DP23" s="66">
        <f t="shared" si="80"/>
        <v>0</v>
      </c>
      <c r="DQ23" s="66">
        <f t="shared" si="81"/>
        <v>0</v>
      </c>
      <c r="DR23" s="66">
        <f t="shared" si="82"/>
        <v>0</v>
      </c>
      <c r="DS23" s="66">
        <f t="shared" si="83"/>
        <v>0</v>
      </c>
      <c r="DT23" s="66">
        <f t="shared" si="84"/>
        <v>0</v>
      </c>
      <c r="DU23" s="66">
        <f t="shared" si="85"/>
        <v>0</v>
      </c>
      <c r="DV23" s="66">
        <f t="shared" si="86"/>
        <v>0</v>
      </c>
      <c r="DW23" s="66">
        <f t="shared" si="87"/>
        <v>0</v>
      </c>
      <c r="DX23" s="66">
        <f t="shared" si="88"/>
        <v>0</v>
      </c>
      <c r="DY23" s="66"/>
      <c r="DZ23" s="66">
        <f t="shared" si="89"/>
        <v>0</v>
      </c>
      <c r="EB23" s="9">
        <f t="shared" si="34"/>
        <v>100000000</v>
      </c>
      <c r="EC23" s="9">
        <f t="shared" si="35"/>
        <v>100000000</v>
      </c>
      <c r="ED23" s="9">
        <f t="shared" si="36"/>
        <v>100000000</v>
      </c>
    </row>
    <row r="24" spans="1:136" ht="30" customHeight="1" x14ac:dyDescent="0.3">
      <c r="A24" s="128"/>
      <c r="B24" s="239"/>
      <c r="C24" s="121" t="s">
        <v>323</v>
      </c>
      <c r="D24" s="71" t="s">
        <v>322</v>
      </c>
      <c r="E24" s="87">
        <v>510</v>
      </c>
      <c r="F24" s="67" t="s">
        <v>283</v>
      </c>
      <c r="G24" s="66">
        <f t="shared" si="0"/>
        <v>20800000</v>
      </c>
      <c r="H24" s="66"/>
      <c r="I24" s="66">
        <v>20800000</v>
      </c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22">
        <f t="shared" si="46"/>
        <v>0.61538461538461542</v>
      </c>
      <c r="AF24" s="66">
        <f t="shared" si="47"/>
        <v>12800000</v>
      </c>
      <c r="AG24" s="66"/>
      <c r="AH24" s="66">
        <f>+'[5]MARZO 2019'!$K$1172</f>
        <v>12800000</v>
      </c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6"/>
      <c r="BD24" s="22">
        <f t="shared" si="3"/>
        <v>0.38461538461538458</v>
      </c>
      <c r="BE24" s="66">
        <f t="shared" si="4"/>
        <v>8000000</v>
      </c>
      <c r="BF24" s="66">
        <f t="shared" si="48"/>
        <v>0</v>
      </c>
      <c r="BG24" s="66">
        <f t="shared" si="49"/>
        <v>8000000</v>
      </c>
      <c r="BH24" s="66">
        <f t="shared" si="50"/>
        <v>0</v>
      </c>
      <c r="BI24" s="66">
        <f t="shared" si="39"/>
        <v>0</v>
      </c>
      <c r="BJ24" s="66">
        <f t="shared" si="51"/>
        <v>0</v>
      </c>
      <c r="BK24" s="66">
        <f t="shared" si="52"/>
        <v>0</v>
      </c>
      <c r="BL24" s="66">
        <f t="shared" si="53"/>
        <v>0</v>
      </c>
      <c r="BM24" s="66">
        <f t="shared" si="54"/>
        <v>0</v>
      </c>
      <c r="BN24" s="66">
        <f t="shared" si="55"/>
        <v>0</v>
      </c>
      <c r="BO24" s="66">
        <f t="shared" si="56"/>
        <v>0</v>
      </c>
      <c r="BP24" s="66">
        <f t="shared" si="57"/>
        <v>0</v>
      </c>
      <c r="BQ24" s="66">
        <f t="shared" si="58"/>
        <v>0</v>
      </c>
      <c r="BR24" s="66">
        <f t="shared" si="59"/>
        <v>0</v>
      </c>
      <c r="BS24" s="66">
        <f t="shared" si="60"/>
        <v>0</v>
      </c>
      <c r="BT24" s="66">
        <f t="shared" si="61"/>
        <v>0</v>
      </c>
      <c r="BU24" s="66">
        <f t="shared" si="62"/>
        <v>0</v>
      </c>
      <c r="BV24" s="66">
        <f t="shared" si="63"/>
        <v>0</v>
      </c>
      <c r="BW24" s="66">
        <f t="shared" si="64"/>
        <v>0</v>
      </c>
      <c r="BX24" s="66">
        <f t="shared" si="65"/>
        <v>0</v>
      </c>
      <c r="BY24" s="66">
        <f t="shared" si="66"/>
        <v>0</v>
      </c>
      <c r="BZ24" s="66">
        <f t="shared" si="67"/>
        <v>0</v>
      </c>
      <c r="CA24" s="66"/>
      <c r="CB24" s="66">
        <f t="shared" si="68"/>
        <v>0</v>
      </c>
      <c r="CC24" s="22">
        <f t="shared" si="8"/>
        <v>0.54326923076923073</v>
      </c>
      <c r="CD24" s="66">
        <f t="shared" si="9"/>
        <v>11300000</v>
      </c>
      <c r="CE24" s="66"/>
      <c r="CF24" s="66">
        <f>+'[1]OCTUBRE 2019'!$H$3596</f>
        <v>11300000</v>
      </c>
      <c r="CG24" s="66"/>
      <c r="CH24" s="66"/>
      <c r="CI24" s="66"/>
      <c r="CJ24" s="66"/>
      <c r="CK24" s="66"/>
      <c r="CL24" s="66"/>
      <c r="CM24" s="66"/>
      <c r="CN24" s="66"/>
      <c r="CO24" s="66"/>
      <c r="CP24" s="66"/>
      <c r="CQ24" s="66"/>
      <c r="CR24" s="66"/>
      <c r="CS24" s="66"/>
      <c r="CT24" s="66"/>
      <c r="CU24" s="66"/>
      <c r="CV24" s="66"/>
      <c r="CW24" s="66"/>
      <c r="CX24" s="66"/>
      <c r="CY24" s="66"/>
      <c r="CZ24" s="66"/>
      <c r="DA24" s="66"/>
      <c r="DB24" s="22">
        <f t="shared" si="10"/>
        <v>0.45673076923076927</v>
      </c>
      <c r="DC24" s="66">
        <f t="shared" si="11"/>
        <v>9500000</v>
      </c>
      <c r="DD24" s="66">
        <f t="shared" si="69"/>
        <v>0</v>
      </c>
      <c r="DE24" s="66">
        <f t="shared" si="70"/>
        <v>9500000</v>
      </c>
      <c r="DF24" s="66">
        <f t="shared" si="71"/>
        <v>0</v>
      </c>
      <c r="DG24" s="66">
        <f t="shared" si="43"/>
        <v>0</v>
      </c>
      <c r="DH24" s="66">
        <f t="shared" si="72"/>
        <v>0</v>
      </c>
      <c r="DI24" s="66">
        <f t="shared" si="73"/>
        <v>0</v>
      </c>
      <c r="DJ24" s="66">
        <f t="shared" si="74"/>
        <v>0</v>
      </c>
      <c r="DK24" s="66">
        <f t="shared" si="75"/>
        <v>0</v>
      </c>
      <c r="DL24" s="66">
        <f t="shared" si="76"/>
        <v>0</v>
      </c>
      <c r="DM24" s="66">
        <f t="shared" si="77"/>
        <v>0</v>
      </c>
      <c r="DN24" s="66">
        <f t="shared" si="78"/>
        <v>0</v>
      </c>
      <c r="DO24" s="66">
        <f t="shared" si="79"/>
        <v>0</v>
      </c>
      <c r="DP24" s="66">
        <f t="shared" si="80"/>
        <v>0</v>
      </c>
      <c r="DQ24" s="66">
        <f t="shared" si="81"/>
        <v>0</v>
      </c>
      <c r="DR24" s="66">
        <f t="shared" si="82"/>
        <v>0</v>
      </c>
      <c r="DS24" s="66">
        <f t="shared" si="83"/>
        <v>0</v>
      </c>
      <c r="DT24" s="66">
        <f t="shared" si="84"/>
        <v>0</v>
      </c>
      <c r="DU24" s="66">
        <f t="shared" si="85"/>
        <v>0</v>
      </c>
      <c r="DV24" s="66">
        <f t="shared" si="86"/>
        <v>0</v>
      </c>
      <c r="DW24" s="66">
        <f t="shared" si="87"/>
        <v>0</v>
      </c>
      <c r="DX24" s="66">
        <f t="shared" si="88"/>
        <v>0</v>
      </c>
      <c r="DY24" s="66"/>
      <c r="DZ24" s="66">
        <f t="shared" si="89"/>
        <v>0</v>
      </c>
      <c r="EB24" s="9">
        <f t="shared" si="34"/>
        <v>20800000</v>
      </c>
      <c r="EC24" s="9">
        <f t="shared" si="35"/>
        <v>20800000</v>
      </c>
      <c r="ED24" s="9">
        <f t="shared" si="36"/>
        <v>20800000</v>
      </c>
      <c r="EF24" s="4"/>
    </row>
    <row r="25" spans="1:136" ht="30.6" customHeight="1" x14ac:dyDescent="0.3">
      <c r="A25" s="128"/>
      <c r="B25" s="240"/>
      <c r="C25" s="121" t="s">
        <v>321</v>
      </c>
      <c r="D25" s="71" t="s">
        <v>320</v>
      </c>
      <c r="E25" s="87">
        <v>510</v>
      </c>
      <c r="F25" s="67" t="s">
        <v>283</v>
      </c>
      <c r="G25" s="66">
        <f t="shared" si="0"/>
        <v>82655791</v>
      </c>
      <c r="H25" s="66">
        <v>23655791</v>
      </c>
      <c r="I25" s="66">
        <v>39000000</v>
      </c>
      <c r="J25" s="66">
        <v>20000000</v>
      </c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22">
        <f t="shared" si="46"/>
        <v>0.6654101223228267</v>
      </c>
      <c r="AF25" s="66">
        <f t="shared" si="47"/>
        <v>55000000</v>
      </c>
      <c r="AG25" s="66"/>
      <c r="AH25" s="66">
        <f>+'[5]MARZO 2019'!$K$1183</f>
        <v>39000000</v>
      </c>
      <c r="AI25" s="66">
        <f>+'[3]JULIO 2019'!$M$2421</f>
        <v>16000000</v>
      </c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22">
        <f t="shared" si="3"/>
        <v>0.3345898776771733</v>
      </c>
      <c r="BE25" s="66">
        <f t="shared" si="4"/>
        <v>27655791</v>
      </c>
      <c r="BF25" s="66">
        <f t="shared" si="48"/>
        <v>23655791</v>
      </c>
      <c r="BG25" s="66">
        <f t="shared" si="49"/>
        <v>0</v>
      </c>
      <c r="BH25" s="66">
        <f t="shared" si="50"/>
        <v>4000000</v>
      </c>
      <c r="BI25" s="66">
        <f t="shared" si="39"/>
        <v>0</v>
      </c>
      <c r="BJ25" s="66">
        <f t="shared" si="51"/>
        <v>0</v>
      </c>
      <c r="BK25" s="66">
        <f t="shared" si="52"/>
        <v>0</v>
      </c>
      <c r="BL25" s="66">
        <f t="shared" si="53"/>
        <v>0</v>
      </c>
      <c r="BM25" s="66">
        <f t="shared" si="54"/>
        <v>0</v>
      </c>
      <c r="BN25" s="66">
        <f t="shared" si="55"/>
        <v>0</v>
      </c>
      <c r="BO25" s="66">
        <f t="shared" si="56"/>
        <v>0</v>
      </c>
      <c r="BP25" s="66">
        <f t="shared" si="57"/>
        <v>0</v>
      </c>
      <c r="BQ25" s="66">
        <f t="shared" si="58"/>
        <v>0</v>
      </c>
      <c r="BR25" s="66">
        <f t="shared" si="59"/>
        <v>0</v>
      </c>
      <c r="BS25" s="66">
        <f t="shared" si="60"/>
        <v>0</v>
      </c>
      <c r="BT25" s="66">
        <f t="shared" si="61"/>
        <v>0</v>
      </c>
      <c r="BU25" s="66">
        <f t="shared" si="62"/>
        <v>0</v>
      </c>
      <c r="BV25" s="66">
        <f t="shared" si="63"/>
        <v>0</v>
      </c>
      <c r="BW25" s="66">
        <f t="shared" si="64"/>
        <v>0</v>
      </c>
      <c r="BX25" s="66">
        <f t="shared" si="65"/>
        <v>0</v>
      </c>
      <c r="BY25" s="66">
        <f t="shared" si="66"/>
        <v>0</v>
      </c>
      <c r="BZ25" s="66">
        <f t="shared" si="67"/>
        <v>0</v>
      </c>
      <c r="CA25" s="66"/>
      <c r="CB25" s="66">
        <f t="shared" si="68"/>
        <v>0</v>
      </c>
      <c r="CC25" s="22">
        <f t="shared" si="8"/>
        <v>0.3301502855377671</v>
      </c>
      <c r="CD25" s="66">
        <f t="shared" si="9"/>
        <v>27288833</v>
      </c>
      <c r="CE25" s="66"/>
      <c r="CF25" s="66">
        <f>+'[1]OCTUBRE 2019'!$H$3615-CG25</f>
        <v>22368856</v>
      </c>
      <c r="CG25" s="66">
        <f>+'[1]OCTUBRE 2019'!$H$3633+'[1]OCTUBRE 2019'!$H$3642</f>
        <v>4919977</v>
      </c>
      <c r="CH25" s="66"/>
      <c r="CI25" s="66"/>
      <c r="CJ25" s="66"/>
      <c r="CK25" s="66"/>
      <c r="CL25" s="66"/>
      <c r="CM25" s="66"/>
      <c r="CN25" s="66"/>
      <c r="CO25" s="66"/>
      <c r="CP25" s="66"/>
      <c r="CQ25" s="66"/>
      <c r="CR25" s="66"/>
      <c r="CS25" s="66"/>
      <c r="CT25" s="66"/>
      <c r="CU25" s="66"/>
      <c r="CV25" s="66"/>
      <c r="CW25" s="66"/>
      <c r="CX25" s="66"/>
      <c r="CY25" s="66"/>
      <c r="CZ25" s="66"/>
      <c r="DA25" s="66"/>
      <c r="DB25" s="22">
        <f t="shared" si="10"/>
        <v>0.66984971446223285</v>
      </c>
      <c r="DC25" s="66">
        <f t="shared" si="11"/>
        <v>55366958</v>
      </c>
      <c r="DD25" s="66">
        <f t="shared" si="69"/>
        <v>23655791</v>
      </c>
      <c r="DE25" s="66">
        <f t="shared" si="70"/>
        <v>16631144</v>
      </c>
      <c r="DF25" s="66">
        <f t="shared" si="71"/>
        <v>15080023</v>
      </c>
      <c r="DG25" s="66">
        <f t="shared" si="43"/>
        <v>0</v>
      </c>
      <c r="DH25" s="66">
        <f t="shared" si="72"/>
        <v>0</v>
      </c>
      <c r="DI25" s="66">
        <f t="shared" si="73"/>
        <v>0</v>
      </c>
      <c r="DJ25" s="66">
        <f t="shared" si="74"/>
        <v>0</v>
      </c>
      <c r="DK25" s="66">
        <f t="shared" si="75"/>
        <v>0</v>
      </c>
      <c r="DL25" s="66">
        <f t="shared" si="76"/>
        <v>0</v>
      </c>
      <c r="DM25" s="66">
        <f t="shared" si="77"/>
        <v>0</v>
      </c>
      <c r="DN25" s="66">
        <f t="shared" si="78"/>
        <v>0</v>
      </c>
      <c r="DO25" s="66">
        <f t="shared" si="79"/>
        <v>0</v>
      </c>
      <c r="DP25" s="66">
        <f t="shared" si="80"/>
        <v>0</v>
      </c>
      <c r="DQ25" s="66">
        <f t="shared" si="81"/>
        <v>0</v>
      </c>
      <c r="DR25" s="66">
        <f t="shared" si="82"/>
        <v>0</v>
      </c>
      <c r="DS25" s="66">
        <f t="shared" si="83"/>
        <v>0</v>
      </c>
      <c r="DT25" s="66">
        <f t="shared" si="84"/>
        <v>0</v>
      </c>
      <c r="DU25" s="66">
        <f t="shared" si="85"/>
        <v>0</v>
      </c>
      <c r="DV25" s="66">
        <f t="shared" si="86"/>
        <v>0</v>
      </c>
      <c r="DW25" s="66">
        <f t="shared" si="87"/>
        <v>0</v>
      </c>
      <c r="DX25" s="66">
        <f t="shared" si="88"/>
        <v>0</v>
      </c>
      <c r="DY25" s="66"/>
      <c r="DZ25" s="66">
        <f t="shared" si="89"/>
        <v>0</v>
      </c>
      <c r="EB25" s="9">
        <f t="shared" si="34"/>
        <v>82655791</v>
      </c>
      <c r="EC25" s="9">
        <f t="shared" si="35"/>
        <v>82655791</v>
      </c>
      <c r="ED25" s="9">
        <f t="shared" si="36"/>
        <v>82655791</v>
      </c>
    </row>
    <row r="26" spans="1:136" ht="45.6" customHeight="1" x14ac:dyDescent="0.3">
      <c r="A26" s="128"/>
      <c r="B26" s="238" t="s">
        <v>319</v>
      </c>
      <c r="C26" s="101" t="s">
        <v>318</v>
      </c>
      <c r="D26" s="69" t="s">
        <v>317</v>
      </c>
      <c r="E26" s="87">
        <v>510</v>
      </c>
      <c r="F26" s="67" t="s">
        <v>316</v>
      </c>
      <c r="G26" s="66">
        <f t="shared" si="0"/>
        <v>312819998</v>
      </c>
      <c r="H26" s="66"/>
      <c r="I26" s="66">
        <f>190000000-18086668</f>
        <v>171913332</v>
      </c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>
        <f>90000000+18000000+20000000+27906666-15000000</f>
        <v>140906666</v>
      </c>
      <c r="AE26" s="22">
        <f t="shared" si="46"/>
        <v>0.94987696406800692</v>
      </c>
      <c r="AF26" s="66">
        <f t="shared" si="47"/>
        <v>297140510</v>
      </c>
      <c r="AG26" s="66"/>
      <c r="AH26" s="66">
        <f>+'[1]OCTUBRE 2019'!$K$3677</f>
        <v>171913332</v>
      </c>
      <c r="AI26" s="66"/>
      <c r="AJ26" s="66"/>
      <c r="AK26" s="66"/>
      <c r="AL26" s="66"/>
      <c r="AM26" s="66"/>
      <c r="AN26" s="66"/>
      <c r="AO26" s="66"/>
      <c r="AP26" s="66"/>
      <c r="AQ26" s="66"/>
      <c r="AR26" s="66"/>
      <c r="AS26" s="66"/>
      <c r="AT26" s="66"/>
      <c r="AU26" s="66"/>
      <c r="AV26" s="66"/>
      <c r="AW26" s="66"/>
      <c r="AX26" s="66"/>
      <c r="AY26" s="66"/>
      <c r="AZ26" s="66"/>
      <c r="BA26" s="66"/>
      <c r="BB26" s="66"/>
      <c r="BC26" s="66">
        <f>+'[1]OCTUBRE 2019'!$AG$3677</f>
        <v>125227178</v>
      </c>
      <c r="BD26" s="22">
        <f t="shared" si="3"/>
        <v>5.0123035931993076E-2</v>
      </c>
      <c r="BE26" s="66">
        <f t="shared" si="4"/>
        <v>15679488</v>
      </c>
      <c r="BF26" s="66">
        <f t="shared" si="48"/>
        <v>0</v>
      </c>
      <c r="BG26" s="66">
        <f t="shared" si="49"/>
        <v>0</v>
      </c>
      <c r="BH26" s="66">
        <f t="shared" si="50"/>
        <v>0</v>
      </c>
      <c r="BI26" s="66">
        <f t="shared" si="39"/>
        <v>0</v>
      </c>
      <c r="BJ26" s="66">
        <f t="shared" si="51"/>
        <v>0</v>
      </c>
      <c r="BK26" s="66">
        <f t="shared" si="52"/>
        <v>0</v>
      </c>
      <c r="BL26" s="66">
        <f t="shared" si="53"/>
        <v>0</v>
      </c>
      <c r="BM26" s="66">
        <f t="shared" si="54"/>
        <v>0</v>
      </c>
      <c r="BN26" s="66">
        <f t="shared" si="55"/>
        <v>0</v>
      </c>
      <c r="BO26" s="66">
        <f t="shared" si="56"/>
        <v>0</v>
      </c>
      <c r="BP26" s="66">
        <f t="shared" si="57"/>
        <v>0</v>
      </c>
      <c r="BQ26" s="66">
        <f t="shared" si="58"/>
        <v>0</v>
      </c>
      <c r="BR26" s="66">
        <f t="shared" si="59"/>
        <v>0</v>
      </c>
      <c r="BS26" s="66">
        <f t="shared" si="60"/>
        <v>0</v>
      </c>
      <c r="BT26" s="66">
        <f t="shared" si="61"/>
        <v>0</v>
      </c>
      <c r="BU26" s="66">
        <f t="shared" si="62"/>
        <v>0</v>
      </c>
      <c r="BV26" s="66">
        <f t="shared" si="63"/>
        <v>0</v>
      </c>
      <c r="BW26" s="66">
        <f t="shared" si="64"/>
        <v>0</v>
      </c>
      <c r="BX26" s="66">
        <f t="shared" si="65"/>
        <v>0</v>
      </c>
      <c r="BY26" s="66">
        <f t="shared" si="66"/>
        <v>0</v>
      </c>
      <c r="BZ26" s="66">
        <f t="shared" si="67"/>
        <v>0</v>
      </c>
      <c r="CA26" s="66"/>
      <c r="CB26" s="66">
        <f t="shared" si="68"/>
        <v>15679488</v>
      </c>
      <c r="CC26" s="22">
        <f t="shared" si="8"/>
        <v>0.83079400825263094</v>
      </c>
      <c r="CD26" s="66">
        <f t="shared" si="9"/>
        <v>259888980</v>
      </c>
      <c r="CE26" s="66"/>
      <c r="CF26" s="66">
        <f>+'[1]OCTUBRE 2019'!$H$3686+'[1]OCTUBRE 2019'!$H$3715+'[1]OCTUBRE 2019'!$H$3718+'[1]OCTUBRE 2019'!$H$3721+'[1]OCTUBRE 2019'!$H$3724+'[1]OCTUBRE 2019'!$H$3727+'[1]OCTUBRE 2019'!$H$3739</f>
        <v>143672789</v>
      </c>
      <c r="CG26" s="66"/>
      <c r="CH26" s="66"/>
      <c r="CI26" s="66"/>
      <c r="CJ26" s="66"/>
      <c r="CK26" s="66"/>
      <c r="CL26" s="66"/>
      <c r="CM26" s="66"/>
      <c r="CN26" s="66"/>
      <c r="CO26" s="66"/>
      <c r="CP26" s="66"/>
      <c r="CQ26" s="66"/>
      <c r="CR26" s="66"/>
      <c r="CS26" s="66"/>
      <c r="CT26" s="66"/>
      <c r="CU26" s="66"/>
      <c r="CV26" s="66"/>
      <c r="CW26" s="66"/>
      <c r="CX26" s="66"/>
      <c r="CY26" s="66"/>
      <c r="CZ26" s="66"/>
      <c r="DA26" s="66">
        <f>+'[1]OCTUBRE 2019'!$H$3675-CF26</f>
        <v>116216191</v>
      </c>
      <c r="DB26" s="22">
        <f t="shared" si="10"/>
        <v>0.16920599174736906</v>
      </c>
      <c r="DC26" s="66">
        <f t="shared" si="11"/>
        <v>52931018</v>
      </c>
      <c r="DD26" s="66">
        <f t="shared" si="69"/>
        <v>0</v>
      </c>
      <c r="DE26" s="66">
        <f t="shared" si="70"/>
        <v>28240543</v>
      </c>
      <c r="DF26" s="66">
        <f t="shared" si="71"/>
        <v>0</v>
      </c>
      <c r="DG26" s="66">
        <f t="shared" si="43"/>
        <v>0</v>
      </c>
      <c r="DH26" s="66">
        <f t="shared" si="72"/>
        <v>0</v>
      </c>
      <c r="DI26" s="66">
        <f t="shared" si="73"/>
        <v>0</v>
      </c>
      <c r="DJ26" s="66">
        <f t="shared" si="74"/>
        <v>0</v>
      </c>
      <c r="DK26" s="66">
        <f t="shared" si="75"/>
        <v>0</v>
      </c>
      <c r="DL26" s="66">
        <f t="shared" si="76"/>
        <v>0</v>
      </c>
      <c r="DM26" s="66">
        <f t="shared" si="77"/>
        <v>0</v>
      </c>
      <c r="DN26" s="66">
        <f t="shared" si="78"/>
        <v>0</v>
      </c>
      <c r="DO26" s="66">
        <f t="shared" si="79"/>
        <v>0</v>
      </c>
      <c r="DP26" s="66">
        <f t="shared" si="80"/>
        <v>0</v>
      </c>
      <c r="DQ26" s="66">
        <f t="shared" si="81"/>
        <v>0</v>
      </c>
      <c r="DR26" s="66">
        <f t="shared" si="82"/>
        <v>0</v>
      </c>
      <c r="DS26" s="66">
        <f t="shared" si="83"/>
        <v>0</v>
      </c>
      <c r="DT26" s="66">
        <f t="shared" si="84"/>
        <v>0</v>
      </c>
      <c r="DU26" s="66">
        <f t="shared" si="85"/>
        <v>0</v>
      </c>
      <c r="DV26" s="66">
        <f t="shared" si="86"/>
        <v>0</v>
      </c>
      <c r="DW26" s="66">
        <f t="shared" si="87"/>
        <v>0</v>
      </c>
      <c r="DX26" s="66">
        <f t="shared" si="88"/>
        <v>0</v>
      </c>
      <c r="DY26" s="66"/>
      <c r="DZ26" s="66">
        <f t="shared" si="89"/>
        <v>24690475</v>
      </c>
      <c r="EB26" s="9">
        <f t="shared" si="34"/>
        <v>312819998</v>
      </c>
      <c r="EC26" s="9">
        <f t="shared" si="35"/>
        <v>312819998</v>
      </c>
      <c r="ED26" s="9">
        <f t="shared" si="36"/>
        <v>312819998</v>
      </c>
    </row>
    <row r="27" spans="1:136" ht="22.2" customHeight="1" x14ac:dyDescent="0.3">
      <c r="A27" s="128"/>
      <c r="B27" s="239"/>
      <c r="C27" s="101" t="s">
        <v>315</v>
      </c>
      <c r="D27" s="69" t="s">
        <v>314</v>
      </c>
      <c r="E27" s="87">
        <v>510</v>
      </c>
      <c r="F27" s="67" t="s">
        <v>313</v>
      </c>
      <c r="G27" s="66">
        <f t="shared" si="0"/>
        <v>5000000</v>
      </c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>
        <v>5000000</v>
      </c>
      <c r="Y27" s="66"/>
      <c r="Z27" s="66"/>
      <c r="AA27" s="66"/>
      <c r="AB27" s="66"/>
      <c r="AC27" s="66"/>
      <c r="AD27" s="66">
        <f>50000000-50000000</f>
        <v>0</v>
      </c>
      <c r="AE27" s="22">
        <f t="shared" si="46"/>
        <v>0</v>
      </c>
      <c r="AF27" s="66">
        <f t="shared" si="47"/>
        <v>0</v>
      </c>
      <c r="AG27" s="66"/>
      <c r="AH27" s="66"/>
      <c r="AI27" s="66"/>
      <c r="AJ27" s="66"/>
      <c r="AK27" s="66"/>
      <c r="AL27" s="66"/>
      <c r="AM27" s="66"/>
      <c r="AN27" s="66"/>
      <c r="AO27" s="66"/>
      <c r="AP27" s="66"/>
      <c r="AQ27" s="66"/>
      <c r="AR27" s="66"/>
      <c r="AS27" s="66"/>
      <c r="AT27" s="66"/>
      <c r="AU27" s="66"/>
      <c r="AV27" s="66"/>
      <c r="AW27" s="66"/>
      <c r="AX27" s="66"/>
      <c r="AY27" s="66"/>
      <c r="AZ27" s="66"/>
      <c r="BA27" s="66"/>
      <c r="BB27" s="66"/>
      <c r="BC27" s="66"/>
      <c r="BD27" s="22">
        <f t="shared" si="3"/>
        <v>1</v>
      </c>
      <c r="BE27" s="66">
        <f t="shared" si="4"/>
        <v>5000000</v>
      </c>
      <c r="BF27" s="66">
        <f t="shared" si="48"/>
        <v>0</v>
      </c>
      <c r="BG27" s="66">
        <f t="shared" si="49"/>
        <v>0</v>
      </c>
      <c r="BH27" s="66">
        <f t="shared" si="50"/>
        <v>0</v>
      </c>
      <c r="BI27" s="66">
        <f t="shared" si="39"/>
        <v>0</v>
      </c>
      <c r="BJ27" s="66">
        <f t="shared" si="51"/>
        <v>0</v>
      </c>
      <c r="BK27" s="66">
        <f t="shared" si="52"/>
        <v>0</v>
      </c>
      <c r="BL27" s="66">
        <f t="shared" si="53"/>
        <v>0</v>
      </c>
      <c r="BM27" s="66">
        <f t="shared" si="54"/>
        <v>0</v>
      </c>
      <c r="BN27" s="66">
        <f t="shared" si="55"/>
        <v>0</v>
      </c>
      <c r="BO27" s="66">
        <f t="shared" si="56"/>
        <v>0</v>
      </c>
      <c r="BP27" s="66">
        <f t="shared" si="57"/>
        <v>0</v>
      </c>
      <c r="BQ27" s="66">
        <f t="shared" si="58"/>
        <v>0</v>
      </c>
      <c r="BR27" s="66">
        <f t="shared" si="59"/>
        <v>0</v>
      </c>
      <c r="BS27" s="66">
        <f t="shared" si="60"/>
        <v>0</v>
      </c>
      <c r="BT27" s="66">
        <f t="shared" si="61"/>
        <v>0</v>
      </c>
      <c r="BU27" s="66">
        <f t="shared" si="62"/>
        <v>0</v>
      </c>
      <c r="BV27" s="66">
        <f t="shared" si="63"/>
        <v>5000000</v>
      </c>
      <c r="BW27" s="66">
        <f t="shared" si="64"/>
        <v>0</v>
      </c>
      <c r="BX27" s="66">
        <f t="shared" si="65"/>
        <v>0</v>
      </c>
      <c r="BY27" s="66">
        <f t="shared" si="66"/>
        <v>0</v>
      </c>
      <c r="BZ27" s="66">
        <f t="shared" si="67"/>
        <v>0</v>
      </c>
      <c r="CA27" s="66"/>
      <c r="CB27" s="66">
        <f t="shared" si="68"/>
        <v>0</v>
      </c>
      <c r="CC27" s="22">
        <f t="shared" si="8"/>
        <v>0</v>
      </c>
      <c r="CD27" s="66">
        <f t="shared" si="9"/>
        <v>0</v>
      </c>
      <c r="CE27" s="66"/>
      <c r="CF27" s="66"/>
      <c r="CG27" s="66"/>
      <c r="CH27" s="66"/>
      <c r="CI27" s="66"/>
      <c r="CJ27" s="66"/>
      <c r="CK27" s="66"/>
      <c r="CL27" s="66"/>
      <c r="CM27" s="66"/>
      <c r="CN27" s="66"/>
      <c r="CO27" s="66"/>
      <c r="CP27" s="66"/>
      <c r="CQ27" s="66"/>
      <c r="CR27" s="66"/>
      <c r="CS27" s="66"/>
      <c r="CT27" s="66"/>
      <c r="CU27" s="66"/>
      <c r="CV27" s="66"/>
      <c r="CW27" s="66"/>
      <c r="CX27" s="66"/>
      <c r="CY27" s="66"/>
      <c r="CZ27" s="66"/>
      <c r="DA27" s="66"/>
      <c r="DB27" s="22">
        <f t="shared" si="10"/>
        <v>1</v>
      </c>
      <c r="DC27" s="66">
        <f t="shared" si="11"/>
        <v>5000000</v>
      </c>
      <c r="DD27" s="66">
        <f t="shared" si="69"/>
        <v>0</v>
      </c>
      <c r="DE27" s="66">
        <f t="shared" si="70"/>
        <v>0</v>
      </c>
      <c r="DF27" s="66">
        <f t="shared" si="71"/>
        <v>0</v>
      </c>
      <c r="DG27" s="66">
        <f t="shared" si="43"/>
        <v>0</v>
      </c>
      <c r="DH27" s="66">
        <f t="shared" si="72"/>
        <v>0</v>
      </c>
      <c r="DI27" s="66">
        <f t="shared" si="73"/>
        <v>0</v>
      </c>
      <c r="DJ27" s="66">
        <f t="shared" si="74"/>
        <v>0</v>
      </c>
      <c r="DK27" s="66">
        <f t="shared" si="75"/>
        <v>0</v>
      </c>
      <c r="DL27" s="66">
        <f t="shared" si="76"/>
        <v>0</v>
      </c>
      <c r="DM27" s="66">
        <f t="shared" si="77"/>
        <v>0</v>
      </c>
      <c r="DN27" s="66">
        <f t="shared" si="78"/>
        <v>0</v>
      </c>
      <c r="DO27" s="66">
        <f t="shared" si="79"/>
        <v>0</v>
      </c>
      <c r="DP27" s="66">
        <f t="shared" si="80"/>
        <v>0</v>
      </c>
      <c r="DQ27" s="66">
        <f t="shared" si="81"/>
        <v>0</v>
      </c>
      <c r="DR27" s="66">
        <f t="shared" si="82"/>
        <v>0</v>
      </c>
      <c r="DS27" s="66">
        <f t="shared" si="83"/>
        <v>0</v>
      </c>
      <c r="DT27" s="66">
        <f t="shared" si="84"/>
        <v>5000000</v>
      </c>
      <c r="DU27" s="66">
        <f t="shared" si="85"/>
        <v>0</v>
      </c>
      <c r="DV27" s="66">
        <f t="shared" si="86"/>
        <v>0</v>
      </c>
      <c r="DW27" s="66">
        <f t="shared" si="87"/>
        <v>0</v>
      </c>
      <c r="DX27" s="66">
        <f t="shared" si="88"/>
        <v>0</v>
      </c>
      <c r="DY27" s="66"/>
      <c r="DZ27" s="66">
        <f t="shared" si="89"/>
        <v>0</v>
      </c>
      <c r="EB27" s="9">
        <f t="shared" si="34"/>
        <v>5000000</v>
      </c>
      <c r="EC27" s="9">
        <f t="shared" si="35"/>
        <v>5000000</v>
      </c>
      <c r="ED27" s="9">
        <f t="shared" si="36"/>
        <v>5000000</v>
      </c>
    </row>
    <row r="28" spans="1:136" ht="27.6" customHeight="1" x14ac:dyDescent="0.3">
      <c r="A28" s="128"/>
      <c r="B28" s="239"/>
      <c r="C28" s="101" t="s">
        <v>312</v>
      </c>
      <c r="D28" s="69" t="s">
        <v>311</v>
      </c>
      <c r="E28" s="87">
        <v>510</v>
      </c>
      <c r="F28" s="67" t="s">
        <v>310</v>
      </c>
      <c r="G28" s="66">
        <f t="shared" si="0"/>
        <v>132586668</v>
      </c>
      <c r="H28" s="66"/>
      <c r="I28" s="66">
        <f>100000000+18086668</f>
        <v>118086668</v>
      </c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>
        <f>14500000</f>
        <v>14500000</v>
      </c>
      <c r="AE28" s="22">
        <f t="shared" si="46"/>
        <v>0.9165477180556344</v>
      </c>
      <c r="AF28" s="66">
        <f t="shared" si="47"/>
        <v>121522008</v>
      </c>
      <c r="AG28" s="66"/>
      <c r="AH28" s="66">
        <f>+'[1]OCTUBRE 2019'!$K$3779</f>
        <v>118086668</v>
      </c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>
        <f>+'[1]OCTUBRE 2019'!$AG$3779</f>
        <v>3435340</v>
      </c>
      <c r="BD28" s="22">
        <f t="shared" si="3"/>
        <v>8.3452281944365603E-2</v>
      </c>
      <c r="BE28" s="66">
        <f t="shared" si="4"/>
        <v>11064660</v>
      </c>
      <c r="BF28" s="66">
        <f t="shared" si="48"/>
        <v>0</v>
      </c>
      <c r="BG28" s="66">
        <f t="shared" si="49"/>
        <v>0</v>
      </c>
      <c r="BH28" s="66">
        <f t="shared" si="50"/>
        <v>0</v>
      </c>
      <c r="BI28" s="66">
        <f t="shared" si="39"/>
        <v>0</v>
      </c>
      <c r="BJ28" s="66">
        <f t="shared" si="51"/>
        <v>0</v>
      </c>
      <c r="BK28" s="66">
        <f t="shared" si="52"/>
        <v>0</v>
      </c>
      <c r="BL28" s="66">
        <f t="shared" si="53"/>
        <v>0</v>
      </c>
      <c r="BM28" s="66">
        <f t="shared" si="54"/>
        <v>0</v>
      </c>
      <c r="BN28" s="66">
        <f t="shared" si="55"/>
        <v>0</v>
      </c>
      <c r="BO28" s="66">
        <f t="shared" si="56"/>
        <v>0</v>
      </c>
      <c r="BP28" s="66">
        <f t="shared" si="57"/>
        <v>0</v>
      </c>
      <c r="BQ28" s="66">
        <f t="shared" si="58"/>
        <v>0</v>
      </c>
      <c r="BR28" s="66">
        <f t="shared" si="59"/>
        <v>0</v>
      </c>
      <c r="BS28" s="66">
        <f t="shared" si="60"/>
        <v>0</v>
      </c>
      <c r="BT28" s="66">
        <f t="shared" si="61"/>
        <v>0</v>
      </c>
      <c r="BU28" s="66">
        <f t="shared" si="62"/>
        <v>0</v>
      </c>
      <c r="BV28" s="66">
        <f t="shared" si="63"/>
        <v>0</v>
      </c>
      <c r="BW28" s="66">
        <f t="shared" si="64"/>
        <v>0</v>
      </c>
      <c r="BX28" s="66">
        <f t="shared" si="65"/>
        <v>0</v>
      </c>
      <c r="BY28" s="66">
        <f t="shared" si="66"/>
        <v>0</v>
      </c>
      <c r="BZ28" s="66">
        <f t="shared" si="67"/>
        <v>0</v>
      </c>
      <c r="CA28" s="66"/>
      <c r="CB28" s="66">
        <f t="shared" si="68"/>
        <v>11064660</v>
      </c>
      <c r="CC28" s="22">
        <f t="shared" si="8"/>
        <v>0.74415617715048088</v>
      </c>
      <c r="CD28" s="66">
        <f t="shared" si="9"/>
        <v>98665188</v>
      </c>
      <c r="CE28" s="66"/>
      <c r="CF28" s="66">
        <f>+'[1]OCTUBRE 2019'!$H$3777-DA28</f>
        <v>97426225</v>
      </c>
      <c r="CG28" s="66"/>
      <c r="CH28" s="66"/>
      <c r="CI28" s="66"/>
      <c r="CJ28" s="66"/>
      <c r="CK28" s="66"/>
      <c r="CL28" s="66"/>
      <c r="CM28" s="66"/>
      <c r="CN28" s="66"/>
      <c r="CO28" s="66"/>
      <c r="CP28" s="66"/>
      <c r="CQ28" s="66"/>
      <c r="CR28" s="66"/>
      <c r="CS28" s="66"/>
      <c r="CT28" s="66"/>
      <c r="CU28" s="66"/>
      <c r="CV28" s="66"/>
      <c r="CW28" s="66"/>
      <c r="CX28" s="66"/>
      <c r="CY28" s="66"/>
      <c r="CZ28" s="66"/>
      <c r="DA28" s="66">
        <f>+'[1]OCTUBRE 2019'!$H$3791+'[1]OCTUBRE 2019'!$H$3818</f>
        <v>1238963</v>
      </c>
      <c r="DB28" s="22">
        <f t="shared" si="10"/>
        <v>0.25584382284951912</v>
      </c>
      <c r="DC28" s="66">
        <f t="shared" si="11"/>
        <v>33921480</v>
      </c>
      <c r="DD28" s="66">
        <f t="shared" si="69"/>
        <v>0</v>
      </c>
      <c r="DE28" s="66">
        <f t="shared" si="70"/>
        <v>20660443</v>
      </c>
      <c r="DF28" s="66">
        <f t="shared" si="71"/>
        <v>0</v>
      </c>
      <c r="DG28" s="66">
        <f t="shared" si="43"/>
        <v>0</v>
      </c>
      <c r="DH28" s="66">
        <f t="shared" si="72"/>
        <v>0</v>
      </c>
      <c r="DI28" s="66">
        <f t="shared" si="73"/>
        <v>0</v>
      </c>
      <c r="DJ28" s="66">
        <f t="shared" si="74"/>
        <v>0</v>
      </c>
      <c r="DK28" s="66">
        <f t="shared" si="75"/>
        <v>0</v>
      </c>
      <c r="DL28" s="66">
        <f t="shared" si="76"/>
        <v>0</v>
      </c>
      <c r="DM28" s="66">
        <f t="shared" si="77"/>
        <v>0</v>
      </c>
      <c r="DN28" s="66">
        <f t="shared" si="78"/>
        <v>0</v>
      </c>
      <c r="DO28" s="66">
        <f t="shared" si="79"/>
        <v>0</v>
      </c>
      <c r="DP28" s="66">
        <f t="shared" si="80"/>
        <v>0</v>
      </c>
      <c r="DQ28" s="66">
        <f t="shared" si="81"/>
        <v>0</v>
      </c>
      <c r="DR28" s="66">
        <f t="shared" si="82"/>
        <v>0</v>
      </c>
      <c r="DS28" s="66">
        <f t="shared" si="83"/>
        <v>0</v>
      </c>
      <c r="DT28" s="66">
        <f t="shared" si="84"/>
        <v>0</v>
      </c>
      <c r="DU28" s="66">
        <f t="shared" si="85"/>
        <v>0</v>
      </c>
      <c r="DV28" s="66">
        <f t="shared" si="86"/>
        <v>0</v>
      </c>
      <c r="DW28" s="66">
        <f t="shared" si="87"/>
        <v>0</v>
      </c>
      <c r="DX28" s="66">
        <f t="shared" si="88"/>
        <v>0</v>
      </c>
      <c r="DY28" s="66"/>
      <c r="DZ28" s="66">
        <f t="shared" si="89"/>
        <v>13261037</v>
      </c>
      <c r="EB28" s="9">
        <f t="shared" si="34"/>
        <v>132586668</v>
      </c>
      <c r="EC28" s="9">
        <f t="shared" si="35"/>
        <v>132586668</v>
      </c>
      <c r="ED28" s="9">
        <f t="shared" si="36"/>
        <v>132586668</v>
      </c>
    </row>
    <row r="29" spans="1:136" ht="73.8" customHeight="1" x14ac:dyDescent="0.3">
      <c r="A29" s="128"/>
      <c r="B29" s="239"/>
      <c r="C29" s="101" t="s">
        <v>309</v>
      </c>
      <c r="D29" s="69" t="s">
        <v>308</v>
      </c>
      <c r="E29" s="87">
        <v>510</v>
      </c>
      <c r="F29" s="67" t="s">
        <v>283</v>
      </c>
      <c r="G29" s="66">
        <f t="shared" si="0"/>
        <v>40000000</v>
      </c>
      <c r="H29" s="66"/>
      <c r="I29" s="66">
        <v>40000000</v>
      </c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22">
        <f t="shared" si="46"/>
        <v>0</v>
      </c>
      <c r="AF29" s="66">
        <f t="shared" si="47"/>
        <v>0</v>
      </c>
      <c r="AG29" s="66"/>
      <c r="AH29" s="66"/>
      <c r="AI29" s="66"/>
      <c r="AJ29" s="66"/>
      <c r="AK29" s="66"/>
      <c r="AL29" s="66"/>
      <c r="AM29" s="66"/>
      <c r="AN29" s="66"/>
      <c r="AO29" s="66"/>
      <c r="AP29" s="66"/>
      <c r="AQ29" s="66"/>
      <c r="AR29" s="66"/>
      <c r="AS29" s="66"/>
      <c r="AT29" s="66"/>
      <c r="AU29" s="66"/>
      <c r="AV29" s="66"/>
      <c r="AW29" s="66"/>
      <c r="AX29" s="66"/>
      <c r="AY29" s="66"/>
      <c r="AZ29" s="66"/>
      <c r="BA29" s="66"/>
      <c r="BB29" s="66"/>
      <c r="BC29" s="66"/>
      <c r="BD29" s="22">
        <f t="shared" si="3"/>
        <v>1</v>
      </c>
      <c r="BE29" s="66">
        <f t="shared" si="4"/>
        <v>40000000</v>
      </c>
      <c r="BF29" s="66">
        <f t="shared" si="48"/>
        <v>0</v>
      </c>
      <c r="BG29" s="66">
        <f t="shared" si="49"/>
        <v>40000000</v>
      </c>
      <c r="BH29" s="66">
        <f t="shared" si="50"/>
        <v>0</v>
      </c>
      <c r="BI29" s="66">
        <f t="shared" si="39"/>
        <v>0</v>
      </c>
      <c r="BJ29" s="66">
        <f t="shared" si="51"/>
        <v>0</v>
      </c>
      <c r="BK29" s="66">
        <f t="shared" si="52"/>
        <v>0</v>
      </c>
      <c r="BL29" s="66">
        <f t="shared" si="53"/>
        <v>0</v>
      </c>
      <c r="BM29" s="66">
        <f t="shared" si="54"/>
        <v>0</v>
      </c>
      <c r="BN29" s="66">
        <f t="shared" si="55"/>
        <v>0</v>
      </c>
      <c r="BO29" s="66">
        <f t="shared" si="56"/>
        <v>0</v>
      </c>
      <c r="BP29" s="66">
        <f t="shared" si="57"/>
        <v>0</v>
      </c>
      <c r="BQ29" s="66">
        <f t="shared" si="58"/>
        <v>0</v>
      </c>
      <c r="BR29" s="66">
        <f t="shared" si="59"/>
        <v>0</v>
      </c>
      <c r="BS29" s="66">
        <f t="shared" si="60"/>
        <v>0</v>
      </c>
      <c r="BT29" s="66">
        <f t="shared" si="61"/>
        <v>0</v>
      </c>
      <c r="BU29" s="66">
        <f t="shared" si="62"/>
        <v>0</v>
      </c>
      <c r="BV29" s="66">
        <f t="shared" si="63"/>
        <v>0</v>
      </c>
      <c r="BW29" s="66">
        <f t="shared" si="64"/>
        <v>0</v>
      </c>
      <c r="BX29" s="66">
        <f t="shared" si="65"/>
        <v>0</v>
      </c>
      <c r="BY29" s="66">
        <f t="shared" si="66"/>
        <v>0</v>
      </c>
      <c r="BZ29" s="66">
        <f t="shared" si="67"/>
        <v>0</v>
      </c>
      <c r="CA29" s="66"/>
      <c r="CB29" s="66">
        <f t="shared" si="68"/>
        <v>0</v>
      </c>
      <c r="CC29" s="22">
        <f t="shared" si="8"/>
        <v>0</v>
      </c>
      <c r="CD29" s="66">
        <f t="shared" si="9"/>
        <v>0</v>
      </c>
      <c r="CE29" s="66"/>
      <c r="CF29" s="66"/>
      <c r="CG29" s="66"/>
      <c r="CH29" s="66"/>
      <c r="CI29" s="66"/>
      <c r="CJ29" s="66"/>
      <c r="CK29" s="66"/>
      <c r="CL29" s="66"/>
      <c r="CM29" s="66"/>
      <c r="CN29" s="66"/>
      <c r="CO29" s="66"/>
      <c r="CP29" s="66"/>
      <c r="CQ29" s="66"/>
      <c r="CR29" s="66"/>
      <c r="CS29" s="66"/>
      <c r="CT29" s="66"/>
      <c r="CU29" s="66"/>
      <c r="CV29" s="66"/>
      <c r="CW29" s="66"/>
      <c r="CX29" s="66"/>
      <c r="CY29" s="66"/>
      <c r="CZ29" s="66"/>
      <c r="DA29" s="66"/>
      <c r="DB29" s="22">
        <f t="shared" si="10"/>
        <v>1</v>
      </c>
      <c r="DC29" s="66">
        <f t="shared" si="11"/>
        <v>40000000</v>
      </c>
      <c r="DD29" s="66">
        <f t="shared" si="69"/>
        <v>0</v>
      </c>
      <c r="DE29" s="66">
        <f t="shared" si="70"/>
        <v>40000000</v>
      </c>
      <c r="DF29" s="66">
        <f t="shared" si="71"/>
        <v>0</v>
      </c>
      <c r="DG29" s="66">
        <f t="shared" si="43"/>
        <v>0</v>
      </c>
      <c r="DH29" s="66">
        <f t="shared" si="72"/>
        <v>0</v>
      </c>
      <c r="DI29" s="66">
        <f t="shared" si="73"/>
        <v>0</v>
      </c>
      <c r="DJ29" s="66">
        <f t="shared" si="74"/>
        <v>0</v>
      </c>
      <c r="DK29" s="66">
        <f t="shared" si="75"/>
        <v>0</v>
      </c>
      <c r="DL29" s="66">
        <f t="shared" si="76"/>
        <v>0</v>
      </c>
      <c r="DM29" s="66">
        <f t="shared" si="77"/>
        <v>0</v>
      </c>
      <c r="DN29" s="66">
        <f t="shared" si="78"/>
        <v>0</v>
      </c>
      <c r="DO29" s="66">
        <f t="shared" si="79"/>
        <v>0</v>
      </c>
      <c r="DP29" s="66">
        <f t="shared" si="80"/>
        <v>0</v>
      </c>
      <c r="DQ29" s="66">
        <f t="shared" si="81"/>
        <v>0</v>
      </c>
      <c r="DR29" s="66">
        <f t="shared" si="82"/>
        <v>0</v>
      </c>
      <c r="DS29" s="66">
        <f t="shared" si="83"/>
        <v>0</v>
      </c>
      <c r="DT29" s="66">
        <f t="shared" si="84"/>
        <v>0</v>
      </c>
      <c r="DU29" s="66">
        <f t="shared" si="85"/>
        <v>0</v>
      </c>
      <c r="DV29" s="66">
        <f t="shared" si="86"/>
        <v>0</v>
      </c>
      <c r="DW29" s="66">
        <f t="shared" si="87"/>
        <v>0</v>
      </c>
      <c r="DX29" s="66">
        <f t="shared" si="88"/>
        <v>0</v>
      </c>
      <c r="DY29" s="66"/>
      <c r="DZ29" s="66">
        <f t="shared" si="89"/>
        <v>0</v>
      </c>
      <c r="EB29" s="9">
        <f t="shared" si="34"/>
        <v>40000000</v>
      </c>
      <c r="EC29" s="9">
        <f t="shared" si="35"/>
        <v>40000000</v>
      </c>
      <c r="ED29" s="9">
        <f t="shared" si="36"/>
        <v>40000000</v>
      </c>
    </row>
    <row r="30" spans="1:136" ht="40.799999999999997" customHeight="1" x14ac:dyDescent="0.3">
      <c r="A30" s="128"/>
      <c r="B30" s="240"/>
      <c r="C30" s="101" t="s">
        <v>307</v>
      </c>
      <c r="D30" s="69" t="s">
        <v>306</v>
      </c>
      <c r="E30" s="87">
        <v>510</v>
      </c>
      <c r="F30" s="67" t="s">
        <v>283</v>
      </c>
      <c r="G30" s="66">
        <f t="shared" si="0"/>
        <v>10000000</v>
      </c>
      <c r="H30" s="66"/>
      <c r="I30" s="66">
        <v>6000000</v>
      </c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>
        <v>4000000</v>
      </c>
      <c r="Y30" s="66"/>
      <c r="Z30" s="66"/>
      <c r="AA30" s="66"/>
      <c r="AB30" s="66"/>
      <c r="AC30" s="66"/>
      <c r="AD30" s="66"/>
      <c r="AE30" s="22"/>
      <c r="AF30" s="66">
        <f t="shared" si="47"/>
        <v>10000000</v>
      </c>
      <c r="AG30" s="66"/>
      <c r="AH30" s="66">
        <f>+'[3]JULIO 2019'!$K$2584</f>
        <v>6000000</v>
      </c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>
        <f>+'[3]JULIO 2019'!$Y$2584</f>
        <v>4000000</v>
      </c>
      <c r="AX30" s="66"/>
      <c r="AY30" s="66"/>
      <c r="AZ30" s="66"/>
      <c r="BA30" s="66"/>
      <c r="BB30" s="66"/>
      <c r="BC30" s="66"/>
      <c r="BD30" s="22">
        <f t="shared" si="3"/>
        <v>1</v>
      </c>
      <c r="BE30" s="66">
        <f t="shared" si="4"/>
        <v>0</v>
      </c>
      <c r="BF30" s="66">
        <f t="shared" si="48"/>
        <v>0</v>
      </c>
      <c r="BG30" s="66">
        <f t="shared" si="49"/>
        <v>0</v>
      </c>
      <c r="BH30" s="66">
        <f t="shared" si="50"/>
        <v>0</v>
      </c>
      <c r="BI30" s="66">
        <f t="shared" si="39"/>
        <v>0</v>
      </c>
      <c r="BJ30" s="66">
        <f t="shared" si="51"/>
        <v>0</v>
      </c>
      <c r="BK30" s="66">
        <f t="shared" si="52"/>
        <v>0</v>
      </c>
      <c r="BL30" s="66">
        <f t="shared" si="53"/>
        <v>0</v>
      </c>
      <c r="BM30" s="66">
        <f t="shared" si="54"/>
        <v>0</v>
      </c>
      <c r="BN30" s="66">
        <f t="shared" si="55"/>
        <v>0</v>
      </c>
      <c r="BO30" s="66">
        <f t="shared" si="56"/>
        <v>0</v>
      </c>
      <c r="BP30" s="66">
        <f t="shared" si="57"/>
        <v>0</v>
      </c>
      <c r="BQ30" s="66">
        <f t="shared" si="58"/>
        <v>0</v>
      </c>
      <c r="BR30" s="66">
        <f t="shared" si="59"/>
        <v>0</v>
      </c>
      <c r="BS30" s="66">
        <f t="shared" si="60"/>
        <v>0</v>
      </c>
      <c r="BT30" s="66">
        <f t="shared" si="61"/>
        <v>0</v>
      </c>
      <c r="BU30" s="66">
        <f t="shared" si="62"/>
        <v>0</v>
      </c>
      <c r="BV30" s="66">
        <f t="shared" si="63"/>
        <v>0</v>
      </c>
      <c r="BW30" s="66">
        <f t="shared" si="64"/>
        <v>0</v>
      </c>
      <c r="BX30" s="66">
        <f t="shared" si="65"/>
        <v>0</v>
      </c>
      <c r="BY30" s="66">
        <f t="shared" si="66"/>
        <v>0</v>
      </c>
      <c r="BZ30" s="66">
        <f t="shared" si="67"/>
        <v>0</v>
      </c>
      <c r="CA30" s="66"/>
      <c r="CB30" s="66">
        <f t="shared" si="68"/>
        <v>0</v>
      </c>
      <c r="CC30" s="22">
        <f t="shared" si="8"/>
        <v>0.755</v>
      </c>
      <c r="CD30" s="66">
        <f t="shared" si="9"/>
        <v>7550000</v>
      </c>
      <c r="CE30" s="66"/>
      <c r="CF30" s="66">
        <f>+'[3]JULIO 2019'!$H$2589</f>
        <v>3550000</v>
      </c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>
        <f>+'[3]JULIO 2019'!$H$2585</f>
        <v>4000000</v>
      </c>
      <c r="CV30" s="66"/>
      <c r="CW30" s="66"/>
      <c r="CX30" s="66"/>
      <c r="CY30" s="66"/>
      <c r="CZ30" s="66"/>
      <c r="DA30" s="66"/>
      <c r="DB30" s="22">
        <f t="shared" si="10"/>
        <v>0.245</v>
      </c>
      <c r="DC30" s="66">
        <f t="shared" si="11"/>
        <v>2450000</v>
      </c>
      <c r="DD30" s="66">
        <f t="shared" si="69"/>
        <v>0</v>
      </c>
      <c r="DE30" s="66">
        <f t="shared" si="70"/>
        <v>2450000</v>
      </c>
      <c r="DF30" s="66">
        <f t="shared" si="71"/>
        <v>0</v>
      </c>
      <c r="DG30" s="66">
        <f t="shared" si="43"/>
        <v>0</v>
      </c>
      <c r="DH30" s="66">
        <f t="shared" si="72"/>
        <v>0</v>
      </c>
      <c r="DI30" s="66">
        <f t="shared" si="73"/>
        <v>0</v>
      </c>
      <c r="DJ30" s="66">
        <f t="shared" si="74"/>
        <v>0</v>
      </c>
      <c r="DK30" s="66">
        <f t="shared" si="75"/>
        <v>0</v>
      </c>
      <c r="DL30" s="66">
        <f t="shared" si="76"/>
        <v>0</v>
      </c>
      <c r="DM30" s="66">
        <f t="shared" si="77"/>
        <v>0</v>
      </c>
      <c r="DN30" s="66">
        <f t="shared" si="78"/>
        <v>0</v>
      </c>
      <c r="DO30" s="66">
        <f t="shared" si="79"/>
        <v>0</v>
      </c>
      <c r="DP30" s="66">
        <f t="shared" si="80"/>
        <v>0</v>
      </c>
      <c r="DQ30" s="66">
        <f t="shared" si="81"/>
        <v>0</v>
      </c>
      <c r="DR30" s="66">
        <f t="shared" si="82"/>
        <v>0</v>
      </c>
      <c r="DS30" s="66">
        <f t="shared" si="83"/>
        <v>0</v>
      </c>
      <c r="DT30" s="66">
        <f t="shared" si="84"/>
        <v>0</v>
      </c>
      <c r="DU30" s="66">
        <f t="shared" si="85"/>
        <v>0</v>
      </c>
      <c r="DV30" s="66">
        <f t="shared" si="86"/>
        <v>0</v>
      </c>
      <c r="DW30" s="66">
        <f t="shared" si="87"/>
        <v>0</v>
      </c>
      <c r="DX30" s="66">
        <f t="shared" si="88"/>
        <v>0</v>
      </c>
      <c r="DY30" s="66"/>
      <c r="DZ30" s="66">
        <f t="shared" si="89"/>
        <v>0</v>
      </c>
      <c r="EB30" s="9">
        <f t="shared" si="34"/>
        <v>10000000</v>
      </c>
      <c r="EC30" s="9">
        <f t="shared" si="35"/>
        <v>10000000</v>
      </c>
      <c r="ED30" s="9">
        <f t="shared" si="36"/>
        <v>10000000</v>
      </c>
    </row>
    <row r="31" spans="1:136" ht="28.2" customHeight="1" x14ac:dyDescent="0.3">
      <c r="A31" s="128"/>
      <c r="B31" s="241" t="s">
        <v>305</v>
      </c>
      <c r="C31" s="101" t="s">
        <v>304</v>
      </c>
      <c r="D31" s="69" t="s">
        <v>303</v>
      </c>
      <c r="E31" s="87">
        <v>510</v>
      </c>
      <c r="F31" s="67" t="s">
        <v>283</v>
      </c>
      <c r="G31" s="66">
        <f t="shared" si="0"/>
        <v>4000000</v>
      </c>
      <c r="H31" s="66"/>
      <c r="I31" s="66">
        <v>4000000</v>
      </c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22">
        <f t="shared" ref="AE31:AE62" si="90">+AF31/G31</f>
        <v>1</v>
      </c>
      <c r="AF31" s="66">
        <f t="shared" si="47"/>
        <v>4000000</v>
      </c>
      <c r="AG31" s="66"/>
      <c r="AH31" s="66">
        <f>+'[1]OCTUBRE 2019'!$G$3845</f>
        <v>4000000</v>
      </c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22">
        <f t="shared" si="3"/>
        <v>0</v>
      </c>
      <c r="BE31" s="66">
        <f t="shared" si="4"/>
        <v>0</v>
      </c>
      <c r="BF31" s="66">
        <f t="shared" si="48"/>
        <v>0</v>
      </c>
      <c r="BG31" s="66">
        <f t="shared" si="49"/>
        <v>0</v>
      </c>
      <c r="BH31" s="66">
        <f t="shared" si="50"/>
        <v>0</v>
      </c>
      <c r="BI31" s="66">
        <f t="shared" si="39"/>
        <v>0</v>
      </c>
      <c r="BJ31" s="66">
        <f t="shared" si="51"/>
        <v>0</v>
      </c>
      <c r="BK31" s="66">
        <f t="shared" si="52"/>
        <v>0</v>
      </c>
      <c r="BL31" s="66">
        <f t="shared" si="53"/>
        <v>0</v>
      </c>
      <c r="BM31" s="66">
        <f t="shared" si="54"/>
        <v>0</v>
      </c>
      <c r="BN31" s="66">
        <f t="shared" si="55"/>
        <v>0</v>
      </c>
      <c r="BO31" s="66">
        <f t="shared" si="56"/>
        <v>0</v>
      </c>
      <c r="BP31" s="66">
        <f t="shared" si="57"/>
        <v>0</v>
      </c>
      <c r="BQ31" s="66">
        <f t="shared" si="58"/>
        <v>0</v>
      </c>
      <c r="BR31" s="66">
        <f t="shared" si="59"/>
        <v>0</v>
      </c>
      <c r="BS31" s="66">
        <f t="shared" si="60"/>
        <v>0</v>
      </c>
      <c r="BT31" s="66">
        <f t="shared" si="61"/>
        <v>0</v>
      </c>
      <c r="BU31" s="66">
        <f t="shared" si="62"/>
        <v>0</v>
      </c>
      <c r="BV31" s="66">
        <f t="shared" si="63"/>
        <v>0</v>
      </c>
      <c r="BW31" s="66">
        <f t="shared" si="64"/>
        <v>0</v>
      </c>
      <c r="BX31" s="66">
        <f t="shared" si="65"/>
        <v>0</v>
      </c>
      <c r="BY31" s="66">
        <f t="shared" si="66"/>
        <v>0</v>
      </c>
      <c r="BZ31" s="66">
        <f t="shared" si="67"/>
        <v>0</v>
      </c>
      <c r="CA31" s="66"/>
      <c r="CB31" s="66">
        <f t="shared" si="68"/>
        <v>0</v>
      </c>
      <c r="CC31" s="22">
        <f t="shared" si="8"/>
        <v>0</v>
      </c>
      <c r="CD31" s="66">
        <f t="shared" si="9"/>
        <v>0</v>
      </c>
      <c r="CE31" s="66"/>
      <c r="CF31" s="66"/>
      <c r="CG31" s="66"/>
      <c r="CH31" s="66"/>
      <c r="CI31" s="66"/>
      <c r="CJ31" s="66"/>
      <c r="CK31" s="66"/>
      <c r="CL31" s="66"/>
      <c r="CM31" s="66"/>
      <c r="CN31" s="66"/>
      <c r="CO31" s="66"/>
      <c r="CP31" s="66"/>
      <c r="CQ31" s="66"/>
      <c r="CR31" s="66"/>
      <c r="CS31" s="66"/>
      <c r="CT31" s="66"/>
      <c r="CU31" s="66"/>
      <c r="CV31" s="66"/>
      <c r="CW31" s="66"/>
      <c r="CX31" s="66"/>
      <c r="CY31" s="66"/>
      <c r="CZ31" s="66"/>
      <c r="DA31" s="66"/>
      <c r="DB31" s="22">
        <f t="shared" si="10"/>
        <v>1</v>
      </c>
      <c r="DC31" s="66">
        <f t="shared" si="11"/>
        <v>4000000</v>
      </c>
      <c r="DD31" s="66">
        <f t="shared" si="69"/>
        <v>0</v>
      </c>
      <c r="DE31" s="66">
        <f t="shared" si="70"/>
        <v>4000000</v>
      </c>
      <c r="DF31" s="66">
        <f t="shared" si="71"/>
        <v>0</v>
      </c>
      <c r="DG31" s="66">
        <f t="shared" si="43"/>
        <v>0</v>
      </c>
      <c r="DH31" s="66">
        <f t="shared" si="72"/>
        <v>0</v>
      </c>
      <c r="DI31" s="66">
        <f t="shared" si="73"/>
        <v>0</v>
      </c>
      <c r="DJ31" s="66">
        <f t="shared" si="74"/>
        <v>0</v>
      </c>
      <c r="DK31" s="66">
        <f t="shared" si="75"/>
        <v>0</v>
      </c>
      <c r="DL31" s="66">
        <f t="shared" si="76"/>
        <v>0</v>
      </c>
      <c r="DM31" s="66">
        <f t="shared" si="77"/>
        <v>0</v>
      </c>
      <c r="DN31" s="66">
        <f t="shared" si="78"/>
        <v>0</v>
      </c>
      <c r="DO31" s="66">
        <f t="shared" si="79"/>
        <v>0</v>
      </c>
      <c r="DP31" s="66">
        <f t="shared" si="80"/>
        <v>0</v>
      </c>
      <c r="DQ31" s="66">
        <f t="shared" si="81"/>
        <v>0</v>
      </c>
      <c r="DR31" s="66">
        <f t="shared" si="82"/>
        <v>0</v>
      </c>
      <c r="DS31" s="66">
        <f t="shared" si="83"/>
        <v>0</v>
      </c>
      <c r="DT31" s="66">
        <f t="shared" si="84"/>
        <v>0</v>
      </c>
      <c r="DU31" s="66">
        <f t="shared" si="85"/>
        <v>0</v>
      </c>
      <c r="DV31" s="66">
        <f t="shared" si="86"/>
        <v>0</v>
      </c>
      <c r="DW31" s="66">
        <f t="shared" si="87"/>
        <v>0</v>
      </c>
      <c r="DX31" s="66">
        <f t="shared" si="88"/>
        <v>0</v>
      </c>
      <c r="DY31" s="66"/>
      <c r="DZ31" s="66">
        <f t="shared" si="89"/>
        <v>0</v>
      </c>
      <c r="EB31" s="9">
        <f t="shared" si="34"/>
        <v>4000000</v>
      </c>
      <c r="EC31" s="9">
        <f t="shared" si="35"/>
        <v>4000000</v>
      </c>
      <c r="ED31" s="9">
        <f t="shared" si="36"/>
        <v>4000000</v>
      </c>
      <c r="EE31" s="9"/>
    </row>
    <row r="32" spans="1:136" ht="30" customHeight="1" x14ac:dyDescent="0.3">
      <c r="A32" s="128"/>
      <c r="B32" s="241"/>
      <c r="C32" s="101" t="s">
        <v>302</v>
      </c>
      <c r="D32" s="69" t="s">
        <v>301</v>
      </c>
      <c r="E32" s="87">
        <v>510</v>
      </c>
      <c r="F32" s="67" t="s">
        <v>300</v>
      </c>
      <c r="G32" s="66">
        <f t="shared" si="0"/>
        <v>82200000</v>
      </c>
      <c r="H32" s="66"/>
      <c r="I32" s="66">
        <v>75000000</v>
      </c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>
        <f>3200000+4000000</f>
        <v>7200000</v>
      </c>
      <c r="AE32" s="22">
        <f t="shared" si="90"/>
        <v>1</v>
      </c>
      <c r="AF32" s="66">
        <f t="shared" si="47"/>
        <v>82200000</v>
      </c>
      <c r="AG32" s="66"/>
      <c r="AH32" s="66">
        <f>+'[9]ENERO 2019'!$K$943</f>
        <v>75000000</v>
      </c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>
        <f>+'[3]JULIO 2019'!$AF$2604</f>
        <v>7200000</v>
      </c>
      <c r="BD32" s="22">
        <f t="shared" si="3"/>
        <v>0</v>
      </c>
      <c r="BE32" s="66">
        <f t="shared" si="4"/>
        <v>0</v>
      </c>
      <c r="BF32" s="66">
        <f t="shared" si="48"/>
        <v>0</v>
      </c>
      <c r="BG32" s="66">
        <f t="shared" si="49"/>
        <v>0</v>
      </c>
      <c r="BH32" s="66">
        <f t="shared" si="50"/>
        <v>0</v>
      </c>
      <c r="BI32" s="66">
        <f t="shared" si="39"/>
        <v>0</v>
      </c>
      <c r="BJ32" s="66">
        <f t="shared" si="51"/>
        <v>0</v>
      </c>
      <c r="BK32" s="66">
        <f t="shared" si="52"/>
        <v>0</v>
      </c>
      <c r="BL32" s="66">
        <f t="shared" si="53"/>
        <v>0</v>
      </c>
      <c r="BM32" s="66">
        <f t="shared" si="54"/>
        <v>0</v>
      </c>
      <c r="BN32" s="66">
        <f t="shared" si="55"/>
        <v>0</v>
      </c>
      <c r="BO32" s="66">
        <f t="shared" si="56"/>
        <v>0</v>
      </c>
      <c r="BP32" s="66">
        <f t="shared" si="57"/>
        <v>0</v>
      </c>
      <c r="BQ32" s="66">
        <f t="shared" si="58"/>
        <v>0</v>
      </c>
      <c r="BR32" s="66">
        <f t="shared" si="59"/>
        <v>0</v>
      </c>
      <c r="BS32" s="66">
        <f t="shared" si="60"/>
        <v>0</v>
      </c>
      <c r="BT32" s="66">
        <f t="shared" si="61"/>
        <v>0</v>
      </c>
      <c r="BU32" s="66">
        <f t="shared" si="62"/>
        <v>0</v>
      </c>
      <c r="BV32" s="66">
        <f t="shared" si="63"/>
        <v>0</v>
      </c>
      <c r="BW32" s="66">
        <f t="shared" si="64"/>
        <v>0</v>
      </c>
      <c r="BX32" s="66">
        <f t="shared" si="65"/>
        <v>0</v>
      </c>
      <c r="BY32" s="66">
        <f t="shared" si="66"/>
        <v>0</v>
      </c>
      <c r="BZ32" s="66">
        <f t="shared" si="67"/>
        <v>0</v>
      </c>
      <c r="CA32" s="66"/>
      <c r="CB32" s="66">
        <f t="shared" si="68"/>
        <v>0</v>
      </c>
      <c r="CC32" s="22">
        <f t="shared" si="8"/>
        <v>0.97037478102189778</v>
      </c>
      <c r="CD32" s="66">
        <f t="shared" si="9"/>
        <v>79764807</v>
      </c>
      <c r="CE32" s="66"/>
      <c r="CF32" s="66">
        <f>+'[2]SEPTIEMBRE 2019'!$H$3444</f>
        <v>74364807</v>
      </c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Q32" s="66"/>
      <c r="CR32" s="66"/>
      <c r="CS32" s="66"/>
      <c r="CT32" s="66"/>
      <c r="CU32" s="66"/>
      <c r="CV32" s="66"/>
      <c r="CW32" s="66"/>
      <c r="CX32" s="66"/>
      <c r="CY32" s="66"/>
      <c r="CZ32" s="66"/>
      <c r="DA32" s="66">
        <f>+'[7]AGOSTO 2019'!$H$2972+'[7]AGOSTO 2019'!$H$2977+'[7]AGOSTO 2019'!$H$2983</f>
        <v>5400000</v>
      </c>
      <c r="DB32" s="22">
        <f t="shared" si="10"/>
        <v>2.9625218978102219E-2</v>
      </c>
      <c r="DC32" s="66">
        <f t="shared" si="11"/>
        <v>2435193</v>
      </c>
      <c r="DD32" s="66">
        <f t="shared" si="69"/>
        <v>0</v>
      </c>
      <c r="DE32" s="66">
        <f t="shared" si="70"/>
        <v>635193</v>
      </c>
      <c r="DF32" s="66">
        <f t="shared" si="71"/>
        <v>0</v>
      </c>
      <c r="DG32" s="66">
        <f t="shared" si="43"/>
        <v>0</v>
      </c>
      <c r="DH32" s="66">
        <f t="shared" si="72"/>
        <v>0</v>
      </c>
      <c r="DI32" s="66">
        <f t="shared" si="73"/>
        <v>0</v>
      </c>
      <c r="DJ32" s="66">
        <f t="shared" si="74"/>
        <v>0</v>
      </c>
      <c r="DK32" s="66">
        <f t="shared" si="75"/>
        <v>0</v>
      </c>
      <c r="DL32" s="66">
        <f t="shared" si="76"/>
        <v>0</v>
      </c>
      <c r="DM32" s="66">
        <f t="shared" si="77"/>
        <v>0</v>
      </c>
      <c r="DN32" s="66">
        <f t="shared" si="78"/>
        <v>0</v>
      </c>
      <c r="DO32" s="66">
        <f t="shared" si="79"/>
        <v>0</v>
      </c>
      <c r="DP32" s="66">
        <f t="shared" si="80"/>
        <v>0</v>
      </c>
      <c r="DQ32" s="66">
        <f t="shared" si="81"/>
        <v>0</v>
      </c>
      <c r="DR32" s="66">
        <f t="shared" si="82"/>
        <v>0</v>
      </c>
      <c r="DS32" s="66">
        <f t="shared" si="83"/>
        <v>0</v>
      </c>
      <c r="DT32" s="66">
        <f t="shared" si="84"/>
        <v>0</v>
      </c>
      <c r="DU32" s="66">
        <f t="shared" si="85"/>
        <v>0</v>
      </c>
      <c r="DV32" s="66">
        <f t="shared" si="86"/>
        <v>0</v>
      </c>
      <c r="DW32" s="66">
        <f t="shared" si="87"/>
        <v>0</v>
      </c>
      <c r="DX32" s="66">
        <f t="shared" si="88"/>
        <v>0</v>
      </c>
      <c r="DY32" s="66"/>
      <c r="DZ32" s="66">
        <f t="shared" si="89"/>
        <v>1800000</v>
      </c>
      <c r="EB32" s="9">
        <f t="shared" si="34"/>
        <v>82200000</v>
      </c>
      <c r="EC32" s="9">
        <f t="shared" si="35"/>
        <v>82200000</v>
      </c>
      <c r="ED32" s="9">
        <f t="shared" si="36"/>
        <v>82200000</v>
      </c>
    </row>
    <row r="33" spans="1:136" ht="22.8" customHeight="1" x14ac:dyDescent="0.3">
      <c r="A33" s="128"/>
      <c r="B33" s="238" t="s">
        <v>299</v>
      </c>
      <c r="C33" s="121" t="s">
        <v>298</v>
      </c>
      <c r="D33" s="71" t="s">
        <v>297</v>
      </c>
      <c r="E33" s="87">
        <v>510</v>
      </c>
      <c r="F33" s="67" t="s">
        <v>283</v>
      </c>
      <c r="G33" s="66">
        <f t="shared" si="0"/>
        <v>5000000</v>
      </c>
      <c r="H33" s="66"/>
      <c r="I33" s="66">
        <f>12000000-7000000</f>
        <v>5000000</v>
      </c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>
        <f>7000000-7000000</f>
        <v>0</v>
      </c>
      <c r="Z33" s="66"/>
      <c r="AA33" s="66"/>
      <c r="AB33" s="66"/>
      <c r="AC33" s="66"/>
      <c r="AD33" s="66"/>
      <c r="AE33" s="22">
        <f t="shared" si="90"/>
        <v>1</v>
      </c>
      <c r="AF33" s="66">
        <f t="shared" si="47"/>
        <v>5000000</v>
      </c>
      <c r="AG33" s="66"/>
      <c r="AH33" s="66">
        <f>+'[2]SEPTIEMBRE 2019'!$K$3496</f>
        <v>5000000</v>
      </c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22">
        <f t="shared" si="3"/>
        <v>0</v>
      </c>
      <c r="BE33" s="66">
        <f t="shared" si="4"/>
        <v>0</v>
      </c>
      <c r="BF33" s="66">
        <f t="shared" si="48"/>
        <v>0</v>
      </c>
      <c r="BG33" s="66">
        <f t="shared" si="49"/>
        <v>0</v>
      </c>
      <c r="BH33" s="66">
        <f t="shared" si="50"/>
        <v>0</v>
      </c>
      <c r="BI33" s="66">
        <f t="shared" si="39"/>
        <v>0</v>
      </c>
      <c r="BJ33" s="66">
        <f t="shared" si="51"/>
        <v>0</v>
      </c>
      <c r="BK33" s="66">
        <f t="shared" si="52"/>
        <v>0</v>
      </c>
      <c r="BL33" s="66">
        <f t="shared" si="53"/>
        <v>0</v>
      </c>
      <c r="BM33" s="66">
        <f t="shared" si="54"/>
        <v>0</v>
      </c>
      <c r="BN33" s="66">
        <f t="shared" si="55"/>
        <v>0</v>
      </c>
      <c r="BO33" s="66">
        <f t="shared" si="56"/>
        <v>0</v>
      </c>
      <c r="BP33" s="66">
        <f t="shared" si="57"/>
        <v>0</v>
      </c>
      <c r="BQ33" s="66">
        <f t="shared" si="58"/>
        <v>0</v>
      </c>
      <c r="BR33" s="66">
        <f t="shared" si="59"/>
        <v>0</v>
      </c>
      <c r="BS33" s="66">
        <f t="shared" si="60"/>
        <v>0</v>
      </c>
      <c r="BT33" s="66">
        <f t="shared" si="61"/>
        <v>0</v>
      </c>
      <c r="BU33" s="66">
        <f t="shared" si="62"/>
        <v>0</v>
      </c>
      <c r="BV33" s="66">
        <f t="shared" si="63"/>
        <v>0</v>
      </c>
      <c r="BW33" s="66">
        <f t="shared" si="64"/>
        <v>0</v>
      </c>
      <c r="BX33" s="66">
        <f t="shared" si="65"/>
        <v>0</v>
      </c>
      <c r="BY33" s="66">
        <f t="shared" si="66"/>
        <v>0</v>
      </c>
      <c r="BZ33" s="66">
        <f t="shared" si="67"/>
        <v>0</v>
      </c>
      <c r="CA33" s="66"/>
      <c r="CB33" s="66">
        <f t="shared" si="68"/>
        <v>0</v>
      </c>
      <c r="CC33" s="22">
        <f t="shared" si="8"/>
        <v>0.76508600000000004</v>
      </c>
      <c r="CD33" s="66">
        <f t="shared" si="9"/>
        <v>3825430</v>
      </c>
      <c r="CE33" s="66"/>
      <c r="CF33" s="66">
        <f>+'[1]OCTUBRE 2019'!$H$3905</f>
        <v>3825430</v>
      </c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Q33" s="66"/>
      <c r="CR33" s="66"/>
      <c r="CS33" s="66"/>
      <c r="CT33" s="66"/>
      <c r="CU33" s="66"/>
      <c r="CV33" s="66"/>
      <c r="CW33" s="66"/>
      <c r="CX33" s="66"/>
      <c r="CY33" s="66"/>
      <c r="CZ33" s="66"/>
      <c r="DA33" s="66"/>
      <c r="DB33" s="22">
        <f t="shared" si="10"/>
        <v>0.23491399999999996</v>
      </c>
      <c r="DC33" s="66">
        <f t="shared" si="11"/>
        <v>1174570</v>
      </c>
      <c r="DD33" s="66">
        <f t="shared" si="69"/>
        <v>0</v>
      </c>
      <c r="DE33" s="66">
        <f t="shared" si="70"/>
        <v>1174570</v>
      </c>
      <c r="DF33" s="66">
        <f t="shared" si="71"/>
        <v>0</v>
      </c>
      <c r="DG33" s="66">
        <f t="shared" si="43"/>
        <v>0</v>
      </c>
      <c r="DH33" s="66">
        <f t="shared" si="72"/>
        <v>0</v>
      </c>
      <c r="DI33" s="66">
        <f t="shared" si="73"/>
        <v>0</v>
      </c>
      <c r="DJ33" s="66">
        <f t="shared" si="74"/>
        <v>0</v>
      </c>
      <c r="DK33" s="66">
        <f t="shared" si="75"/>
        <v>0</v>
      </c>
      <c r="DL33" s="66">
        <f t="shared" si="76"/>
        <v>0</v>
      </c>
      <c r="DM33" s="66">
        <f t="shared" si="77"/>
        <v>0</v>
      </c>
      <c r="DN33" s="66">
        <f t="shared" si="78"/>
        <v>0</v>
      </c>
      <c r="DO33" s="66">
        <f t="shared" si="79"/>
        <v>0</v>
      </c>
      <c r="DP33" s="66">
        <f t="shared" si="80"/>
        <v>0</v>
      </c>
      <c r="DQ33" s="66">
        <f t="shared" si="81"/>
        <v>0</v>
      </c>
      <c r="DR33" s="66">
        <f t="shared" si="82"/>
        <v>0</v>
      </c>
      <c r="DS33" s="66">
        <f t="shared" si="83"/>
        <v>0</v>
      </c>
      <c r="DT33" s="66">
        <f t="shared" si="84"/>
        <v>0</v>
      </c>
      <c r="DU33" s="66">
        <f t="shared" si="85"/>
        <v>0</v>
      </c>
      <c r="DV33" s="66">
        <f t="shared" si="86"/>
        <v>0</v>
      </c>
      <c r="DW33" s="66">
        <f t="shared" si="87"/>
        <v>0</v>
      </c>
      <c r="DX33" s="66">
        <f t="shared" si="88"/>
        <v>0</v>
      </c>
      <c r="DY33" s="66"/>
      <c r="DZ33" s="66">
        <f t="shared" si="89"/>
        <v>0</v>
      </c>
      <c r="EB33" s="9">
        <f t="shared" si="34"/>
        <v>5000000</v>
      </c>
      <c r="EC33" s="9">
        <f t="shared" si="35"/>
        <v>5000000</v>
      </c>
      <c r="ED33" s="9">
        <f t="shared" si="36"/>
        <v>5000000</v>
      </c>
    </row>
    <row r="34" spans="1:136" ht="19.2" customHeight="1" x14ac:dyDescent="0.3">
      <c r="A34" s="128"/>
      <c r="B34" s="239"/>
      <c r="C34" s="121" t="s">
        <v>296</v>
      </c>
      <c r="D34" s="71" t="s">
        <v>295</v>
      </c>
      <c r="E34" s="87">
        <v>510</v>
      </c>
      <c r="F34" s="67" t="s">
        <v>294</v>
      </c>
      <c r="G34" s="66">
        <f t="shared" si="0"/>
        <v>136500000</v>
      </c>
      <c r="H34" s="66"/>
      <c r="I34" s="66">
        <f>25000000+7000000</f>
        <v>32000000</v>
      </c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>
        <v>25000000</v>
      </c>
      <c r="Y34" s="66">
        <f>18000000+7000000</f>
        <v>25000000</v>
      </c>
      <c r="Z34" s="66"/>
      <c r="AA34" s="66"/>
      <c r="AB34" s="66"/>
      <c r="AC34" s="66"/>
      <c r="AD34" s="66">
        <f>34000000+20000000+500000</f>
        <v>54500000</v>
      </c>
      <c r="AE34" s="22">
        <f t="shared" si="90"/>
        <v>0.87743736263736261</v>
      </c>
      <c r="AF34" s="66">
        <f t="shared" si="47"/>
        <v>119770200</v>
      </c>
      <c r="AG34" s="66"/>
      <c r="AH34" s="66">
        <f>+'[1]OCTUBRE 2019'!$K$3914</f>
        <v>31920200</v>
      </c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  <c r="AU34" s="66"/>
      <c r="AV34" s="66"/>
      <c r="AW34" s="66">
        <f>+'[3]JULIO 2019'!$Y$2648</f>
        <v>25000000</v>
      </c>
      <c r="AX34" s="66">
        <f>+'[1]OCTUBRE 2019'!$AA$3914</f>
        <v>21500000</v>
      </c>
      <c r="AY34" s="66"/>
      <c r="AZ34" s="66"/>
      <c r="BA34" s="66"/>
      <c r="BB34" s="66"/>
      <c r="BC34" s="66">
        <f>+'[1]OCTUBRE 2019'!$AG$3914</f>
        <v>41350000</v>
      </c>
      <c r="BD34" s="22">
        <f t="shared" si="3"/>
        <v>0.12256263736263739</v>
      </c>
      <c r="BE34" s="66">
        <f t="shared" si="4"/>
        <v>16729800</v>
      </c>
      <c r="BF34" s="66">
        <f t="shared" si="48"/>
        <v>0</v>
      </c>
      <c r="BG34" s="66">
        <f t="shared" si="49"/>
        <v>79800</v>
      </c>
      <c r="BH34" s="66">
        <f t="shared" si="50"/>
        <v>0</v>
      </c>
      <c r="BI34" s="66">
        <f t="shared" si="39"/>
        <v>0</v>
      </c>
      <c r="BJ34" s="66">
        <f t="shared" si="51"/>
        <v>0</v>
      </c>
      <c r="BK34" s="66">
        <f t="shared" si="52"/>
        <v>0</v>
      </c>
      <c r="BL34" s="66">
        <f t="shared" si="53"/>
        <v>0</v>
      </c>
      <c r="BM34" s="66">
        <f t="shared" si="54"/>
        <v>0</v>
      </c>
      <c r="BN34" s="66">
        <f t="shared" si="55"/>
        <v>0</v>
      </c>
      <c r="BO34" s="66">
        <f t="shared" si="56"/>
        <v>0</v>
      </c>
      <c r="BP34" s="66">
        <f t="shared" si="57"/>
        <v>0</v>
      </c>
      <c r="BQ34" s="66">
        <f t="shared" si="58"/>
        <v>0</v>
      </c>
      <c r="BR34" s="66">
        <f t="shared" si="59"/>
        <v>0</v>
      </c>
      <c r="BS34" s="66">
        <f t="shared" si="60"/>
        <v>0</v>
      </c>
      <c r="BT34" s="66">
        <f t="shared" si="61"/>
        <v>0</v>
      </c>
      <c r="BU34" s="66">
        <f t="shared" si="62"/>
        <v>0</v>
      </c>
      <c r="BV34" s="66">
        <f t="shared" si="63"/>
        <v>0</v>
      </c>
      <c r="BW34" s="66">
        <f t="shared" si="64"/>
        <v>3500000</v>
      </c>
      <c r="BX34" s="66">
        <f t="shared" si="65"/>
        <v>0</v>
      </c>
      <c r="BY34" s="66">
        <f t="shared" si="66"/>
        <v>0</v>
      </c>
      <c r="BZ34" s="66">
        <f t="shared" si="67"/>
        <v>0</v>
      </c>
      <c r="CA34" s="66"/>
      <c r="CB34" s="66">
        <f t="shared" si="68"/>
        <v>13150000</v>
      </c>
      <c r="CC34" s="22">
        <f t="shared" si="8"/>
        <v>0.72264291575091577</v>
      </c>
      <c r="CD34" s="66">
        <f t="shared" si="9"/>
        <v>98640758</v>
      </c>
      <c r="CE34" s="66"/>
      <c r="CF34" s="66">
        <f>+'[7]AGOSTO 2019'!$H$3005+'[7]AGOSTO 2019'!$H$3017+'[7]AGOSTO 2019'!$H$3019+'[7]AGOSTO 2019'!$H$3020+'[7]AGOSTO 2019'!$H$3021+'[7]AGOSTO 2019'!$H$3028</f>
        <v>31920200</v>
      </c>
      <c r="CG34" s="66"/>
      <c r="CH34" s="66"/>
      <c r="CI34" s="66"/>
      <c r="CJ34" s="66"/>
      <c r="CK34" s="66"/>
      <c r="CL34" s="66"/>
      <c r="CM34" s="66"/>
      <c r="CN34" s="66"/>
      <c r="CO34" s="66"/>
      <c r="CP34" s="66"/>
      <c r="CQ34" s="66"/>
      <c r="CR34" s="66"/>
      <c r="CS34" s="66"/>
      <c r="CT34" s="66"/>
      <c r="CU34" s="66">
        <f>+'[1]OCTUBRE 2019'!$H$3941+'[1]OCTUBRE 2019'!$Z$3946</f>
        <v>22040558</v>
      </c>
      <c r="CV34" s="66">
        <f>+'[1]OCTUBRE 2019'!$AA$3946-'[1]OCTUBRE 2019'!$I$3946+'[1]OCTUBRE 2019'!$H$3950+'[1]OCTUBRE 2019'!$H$3953</f>
        <v>11200000</v>
      </c>
      <c r="CW34" s="66"/>
      <c r="CX34" s="66"/>
      <c r="CY34" s="66"/>
      <c r="CZ34" s="66"/>
      <c r="DA34" s="66">
        <f>+'[1]OCTUBRE 2019'!$H$3912-CV34-CU34-CF34</f>
        <v>33480000</v>
      </c>
      <c r="DB34" s="22">
        <f t="shared" si="10"/>
        <v>0.27735708424908423</v>
      </c>
      <c r="DC34" s="66">
        <f t="shared" si="11"/>
        <v>37859242</v>
      </c>
      <c r="DD34" s="66">
        <f t="shared" si="69"/>
        <v>0</v>
      </c>
      <c r="DE34" s="66">
        <f t="shared" si="70"/>
        <v>79800</v>
      </c>
      <c r="DF34" s="66">
        <f t="shared" si="71"/>
        <v>0</v>
      </c>
      <c r="DG34" s="66">
        <f t="shared" si="43"/>
        <v>0</v>
      </c>
      <c r="DH34" s="66">
        <f t="shared" si="72"/>
        <v>0</v>
      </c>
      <c r="DI34" s="66">
        <f t="shared" si="73"/>
        <v>0</v>
      </c>
      <c r="DJ34" s="66">
        <f t="shared" si="74"/>
        <v>0</v>
      </c>
      <c r="DK34" s="66">
        <f t="shared" si="75"/>
        <v>0</v>
      </c>
      <c r="DL34" s="66">
        <f t="shared" si="76"/>
        <v>0</v>
      </c>
      <c r="DM34" s="66">
        <f t="shared" si="77"/>
        <v>0</v>
      </c>
      <c r="DN34" s="66">
        <f t="shared" si="78"/>
        <v>0</v>
      </c>
      <c r="DO34" s="66">
        <f t="shared" si="79"/>
        <v>0</v>
      </c>
      <c r="DP34" s="66">
        <f t="shared" si="80"/>
        <v>0</v>
      </c>
      <c r="DQ34" s="66">
        <f t="shared" si="81"/>
        <v>0</v>
      </c>
      <c r="DR34" s="66">
        <f t="shared" si="82"/>
        <v>0</v>
      </c>
      <c r="DS34" s="66">
        <f t="shared" si="83"/>
        <v>0</v>
      </c>
      <c r="DT34" s="66">
        <f t="shared" si="84"/>
        <v>2959442</v>
      </c>
      <c r="DU34" s="66">
        <f t="shared" si="85"/>
        <v>13800000</v>
      </c>
      <c r="DV34" s="66">
        <f t="shared" si="86"/>
        <v>0</v>
      </c>
      <c r="DW34" s="66">
        <f t="shared" si="87"/>
        <v>0</v>
      </c>
      <c r="DX34" s="66">
        <f t="shared" si="88"/>
        <v>0</v>
      </c>
      <c r="DY34" s="66"/>
      <c r="DZ34" s="66">
        <f t="shared" si="89"/>
        <v>21020000</v>
      </c>
      <c r="EB34" s="9">
        <f t="shared" si="34"/>
        <v>136500000</v>
      </c>
      <c r="EC34" s="9">
        <f t="shared" si="35"/>
        <v>136500000</v>
      </c>
      <c r="ED34" s="9">
        <f t="shared" si="36"/>
        <v>136500000</v>
      </c>
    </row>
    <row r="35" spans="1:136" ht="21.6" customHeight="1" x14ac:dyDescent="0.3">
      <c r="A35" s="128"/>
      <c r="B35" s="242" t="s">
        <v>293</v>
      </c>
      <c r="C35" s="121" t="s">
        <v>292</v>
      </c>
      <c r="D35" s="71" t="s">
        <v>291</v>
      </c>
      <c r="E35" s="87">
        <v>211</v>
      </c>
      <c r="F35" s="67" t="s">
        <v>290</v>
      </c>
      <c r="G35" s="66">
        <f t="shared" si="0"/>
        <v>1014978084</v>
      </c>
      <c r="H35" s="66"/>
      <c r="I35" s="66"/>
      <c r="J35" s="66"/>
      <c r="K35" s="66"/>
      <c r="L35" s="66"/>
      <c r="M35" s="66"/>
      <c r="N35" s="66">
        <v>244096406</v>
      </c>
      <c r="O35" s="66">
        <v>300000000</v>
      </c>
      <c r="P35" s="66">
        <f>20000000+30000000</f>
        <v>50000000</v>
      </c>
      <c r="Q35" s="66"/>
      <c r="R35" s="66">
        <v>40000000</v>
      </c>
      <c r="S35" s="66"/>
      <c r="T35" s="66"/>
      <c r="U35" s="66">
        <f>40000000+11586236</f>
        <v>51586236</v>
      </c>
      <c r="V35" s="66"/>
      <c r="W35" s="66">
        <v>30000000</v>
      </c>
      <c r="X35" s="66"/>
      <c r="Y35" s="66"/>
      <c r="Z35" s="66"/>
      <c r="AA35" s="66"/>
      <c r="AB35" s="66"/>
      <c r="AC35" s="66"/>
      <c r="AD35" s="66">
        <f>181433693+21979601+51331966+5478895+35000000+4071287</f>
        <v>299295442</v>
      </c>
      <c r="AE35" s="22">
        <f t="shared" si="90"/>
        <v>0.7868968006209679</v>
      </c>
      <c r="AF35" s="66">
        <f t="shared" si="47"/>
        <v>798683007</v>
      </c>
      <c r="AG35" s="66"/>
      <c r="AH35" s="66"/>
      <c r="AI35" s="66"/>
      <c r="AJ35" s="66"/>
      <c r="AK35" s="66"/>
      <c r="AL35" s="66"/>
      <c r="AM35" s="66">
        <f>+'[7]AGOSTO 2019'!$O$333</f>
        <v>236438964</v>
      </c>
      <c r="AN35" s="66">
        <f>+'[5]MARZO 2019'!$P$138</f>
        <v>300000000</v>
      </c>
      <c r="AO35" s="66"/>
      <c r="AP35" s="66"/>
      <c r="AQ35" s="66"/>
      <c r="AR35" s="66"/>
      <c r="AS35" s="66"/>
      <c r="AT35" s="66"/>
      <c r="AU35" s="66"/>
      <c r="AV35" s="66">
        <f>+'[2]SEPTIEMBRE 2019'!$Y$443</f>
        <v>30000000</v>
      </c>
      <c r="AW35" s="66"/>
      <c r="AX35" s="66"/>
      <c r="AY35" s="66"/>
      <c r="AZ35" s="66"/>
      <c r="BA35" s="66"/>
      <c r="BB35" s="66"/>
      <c r="BC35" s="66">
        <f>+'[2]SEPTIEMBRE 2019'!$AG$443</f>
        <v>232244043</v>
      </c>
      <c r="BD35" s="22">
        <f t="shared" si="3"/>
        <v>0.2131031993790321</v>
      </c>
      <c r="BE35" s="66">
        <f t="shared" si="4"/>
        <v>216295077</v>
      </c>
      <c r="BF35" s="66">
        <f t="shared" si="48"/>
        <v>0</v>
      </c>
      <c r="BG35" s="66">
        <f t="shared" si="49"/>
        <v>0</v>
      </c>
      <c r="BH35" s="66">
        <f t="shared" si="50"/>
        <v>0</v>
      </c>
      <c r="BI35" s="66">
        <f t="shared" si="39"/>
        <v>0</v>
      </c>
      <c r="BJ35" s="66">
        <f t="shared" si="51"/>
        <v>0</v>
      </c>
      <c r="BK35" s="66">
        <f t="shared" si="52"/>
        <v>0</v>
      </c>
      <c r="BL35" s="66">
        <f t="shared" si="53"/>
        <v>7657442</v>
      </c>
      <c r="BM35" s="66">
        <f t="shared" si="54"/>
        <v>0</v>
      </c>
      <c r="BN35" s="66">
        <f t="shared" si="55"/>
        <v>50000000</v>
      </c>
      <c r="BO35" s="66">
        <f t="shared" si="56"/>
        <v>0</v>
      </c>
      <c r="BP35" s="66">
        <f t="shared" si="57"/>
        <v>40000000</v>
      </c>
      <c r="BQ35" s="66">
        <f t="shared" si="58"/>
        <v>0</v>
      </c>
      <c r="BR35" s="66">
        <f t="shared" si="59"/>
        <v>0</v>
      </c>
      <c r="BS35" s="66">
        <f t="shared" si="60"/>
        <v>51586236</v>
      </c>
      <c r="BT35" s="66">
        <f t="shared" si="61"/>
        <v>0</v>
      </c>
      <c r="BU35" s="66">
        <f t="shared" si="62"/>
        <v>0</v>
      </c>
      <c r="BV35" s="66">
        <f t="shared" si="63"/>
        <v>0</v>
      </c>
      <c r="BW35" s="66">
        <f t="shared" si="64"/>
        <v>0</v>
      </c>
      <c r="BX35" s="66">
        <f t="shared" si="65"/>
        <v>0</v>
      </c>
      <c r="BY35" s="66">
        <f t="shared" si="66"/>
        <v>0</v>
      </c>
      <c r="BZ35" s="66">
        <f t="shared" si="67"/>
        <v>0</v>
      </c>
      <c r="CA35" s="66"/>
      <c r="CB35" s="66">
        <f t="shared" si="68"/>
        <v>67051399</v>
      </c>
      <c r="CC35" s="22">
        <f t="shared" si="8"/>
        <v>0.61991022655421202</v>
      </c>
      <c r="CD35" s="66">
        <f t="shared" si="9"/>
        <v>629195294</v>
      </c>
      <c r="CE35" s="66"/>
      <c r="CF35" s="66"/>
      <c r="CG35" s="66"/>
      <c r="CH35" s="66"/>
      <c r="CI35" s="66"/>
      <c r="CJ35" s="66"/>
      <c r="CK35" s="66">
        <f>+'[10]ABRIL 2019'!$H$161+'[1]OCTUBRE 2019'!$H$533</f>
        <v>236438964</v>
      </c>
      <c r="CL35" s="66">
        <f>+'[10]ABRIL 2019'!$H$163</f>
        <v>300000000</v>
      </c>
      <c r="CM35" s="66"/>
      <c r="CN35" s="66"/>
      <c r="CO35" s="66"/>
      <c r="CP35" s="66"/>
      <c r="CQ35" s="66"/>
      <c r="CR35" s="66"/>
      <c r="CS35" s="66"/>
      <c r="CT35" s="66">
        <f>+'[4]JUNIO 2019'!$H$235</f>
        <v>27384000</v>
      </c>
      <c r="CU35" s="66"/>
      <c r="CV35" s="66"/>
      <c r="CW35" s="66"/>
      <c r="CX35" s="66"/>
      <c r="CY35" s="66"/>
      <c r="CZ35" s="66"/>
      <c r="DA35" s="66">
        <f>+'[1]OCTUBRE 2019'!$H$501+'[1]OCTUBRE 2019'!$H$510+'[1]OCTUBRE 2019'!$H$513+'[1]OCTUBRE 2019'!$H$519+'[1]OCTUBRE 2019'!$H$522+'[1]OCTUBRE 2019'!$H$525+'[1]OCTUBRE 2019'!$H$530+'[1]OCTUBRE 2019'!$H$536+'[1]OCTUBRE 2019'!$H$542</f>
        <v>65372330</v>
      </c>
      <c r="DB35" s="22">
        <f t="shared" si="10"/>
        <v>0.38008977344578798</v>
      </c>
      <c r="DC35" s="66">
        <f t="shared" si="11"/>
        <v>385782790</v>
      </c>
      <c r="DD35" s="66">
        <f t="shared" si="69"/>
        <v>0</v>
      </c>
      <c r="DE35" s="66">
        <f t="shared" si="70"/>
        <v>0</v>
      </c>
      <c r="DF35" s="66">
        <f t="shared" si="71"/>
        <v>0</v>
      </c>
      <c r="DG35" s="66">
        <f t="shared" si="43"/>
        <v>0</v>
      </c>
      <c r="DH35" s="66">
        <f t="shared" si="72"/>
        <v>0</v>
      </c>
      <c r="DI35" s="66">
        <f t="shared" si="73"/>
        <v>0</v>
      </c>
      <c r="DJ35" s="66">
        <f t="shared" si="74"/>
        <v>7657442</v>
      </c>
      <c r="DK35" s="66">
        <f t="shared" si="75"/>
        <v>0</v>
      </c>
      <c r="DL35" s="66">
        <f t="shared" si="76"/>
        <v>50000000</v>
      </c>
      <c r="DM35" s="66">
        <f t="shared" si="77"/>
        <v>0</v>
      </c>
      <c r="DN35" s="66">
        <f t="shared" si="78"/>
        <v>40000000</v>
      </c>
      <c r="DO35" s="66">
        <f t="shared" si="79"/>
        <v>0</v>
      </c>
      <c r="DP35" s="66">
        <f t="shared" si="80"/>
        <v>0</v>
      </c>
      <c r="DQ35" s="66">
        <f t="shared" si="81"/>
        <v>51586236</v>
      </c>
      <c r="DR35" s="66">
        <f t="shared" si="82"/>
        <v>0</v>
      </c>
      <c r="DS35" s="66">
        <f t="shared" si="83"/>
        <v>2616000</v>
      </c>
      <c r="DT35" s="66">
        <f t="shared" si="84"/>
        <v>0</v>
      </c>
      <c r="DU35" s="66">
        <f t="shared" si="85"/>
        <v>0</v>
      </c>
      <c r="DV35" s="66">
        <f t="shared" si="86"/>
        <v>0</v>
      </c>
      <c r="DW35" s="66">
        <f t="shared" si="87"/>
        <v>0</v>
      </c>
      <c r="DX35" s="66">
        <f t="shared" si="88"/>
        <v>0</v>
      </c>
      <c r="DY35" s="66"/>
      <c r="DZ35" s="66">
        <f t="shared" si="89"/>
        <v>233923112</v>
      </c>
      <c r="EB35" s="9">
        <f t="shared" si="34"/>
        <v>1014978084</v>
      </c>
      <c r="EC35" s="9">
        <f t="shared" si="35"/>
        <v>1014978084</v>
      </c>
      <c r="ED35" s="9">
        <f t="shared" si="36"/>
        <v>1014978084</v>
      </c>
    </row>
    <row r="36" spans="1:136" ht="60" customHeight="1" x14ac:dyDescent="0.3">
      <c r="A36" s="128"/>
      <c r="B36" s="242"/>
      <c r="C36" s="121" t="s">
        <v>289</v>
      </c>
      <c r="D36" s="71" t="s">
        <v>288</v>
      </c>
      <c r="E36" s="87">
        <v>510</v>
      </c>
      <c r="F36" s="67" t="s">
        <v>283</v>
      </c>
      <c r="G36" s="66">
        <f t="shared" si="0"/>
        <v>5000000</v>
      </c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>
        <v>5000000</v>
      </c>
      <c r="Y36" s="66"/>
      <c r="Z36" s="66"/>
      <c r="AA36" s="66"/>
      <c r="AB36" s="66"/>
      <c r="AC36" s="66"/>
      <c r="AD36" s="66"/>
      <c r="AE36" s="22">
        <f t="shared" si="90"/>
        <v>1</v>
      </c>
      <c r="AF36" s="66">
        <f t="shared" si="47"/>
        <v>5000000</v>
      </c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>
        <f>+'[7]AGOSTO 2019'!$Y$3052</f>
        <v>5000000</v>
      </c>
      <c r="AX36" s="66"/>
      <c r="AY36" s="66"/>
      <c r="AZ36" s="66"/>
      <c r="BA36" s="66"/>
      <c r="BB36" s="66"/>
      <c r="BC36" s="66"/>
      <c r="BD36" s="22">
        <f t="shared" ref="BD36:BD67" si="91">1-AE36</f>
        <v>0</v>
      </c>
      <c r="BE36" s="66">
        <f t="shared" si="4"/>
        <v>0</v>
      </c>
      <c r="BF36" s="66">
        <f t="shared" si="48"/>
        <v>0</v>
      </c>
      <c r="BG36" s="66">
        <f t="shared" si="49"/>
        <v>0</v>
      </c>
      <c r="BH36" s="66">
        <f t="shared" si="50"/>
        <v>0</v>
      </c>
      <c r="BI36" s="66">
        <f t="shared" si="39"/>
        <v>0</v>
      </c>
      <c r="BJ36" s="66">
        <f t="shared" si="51"/>
        <v>0</v>
      </c>
      <c r="BK36" s="66">
        <f t="shared" si="52"/>
        <v>0</v>
      </c>
      <c r="BL36" s="66">
        <f t="shared" si="53"/>
        <v>0</v>
      </c>
      <c r="BM36" s="66">
        <f t="shared" si="54"/>
        <v>0</v>
      </c>
      <c r="BN36" s="66">
        <f t="shared" si="55"/>
        <v>0</v>
      </c>
      <c r="BO36" s="66">
        <f t="shared" si="56"/>
        <v>0</v>
      </c>
      <c r="BP36" s="66">
        <f t="shared" si="57"/>
        <v>0</v>
      </c>
      <c r="BQ36" s="66">
        <f t="shared" si="58"/>
        <v>0</v>
      </c>
      <c r="BR36" s="66">
        <f t="shared" si="59"/>
        <v>0</v>
      </c>
      <c r="BS36" s="66">
        <f t="shared" si="60"/>
        <v>0</v>
      </c>
      <c r="BT36" s="66">
        <f t="shared" si="61"/>
        <v>0</v>
      </c>
      <c r="BU36" s="66">
        <f t="shared" si="62"/>
        <v>0</v>
      </c>
      <c r="BV36" s="66">
        <f t="shared" si="63"/>
        <v>0</v>
      </c>
      <c r="BW36" s="66">
        <f t="shared" si="64"/>
        <v>0</v>
      </c>
      <c r="BX36" s="66">
        <f t="shared" si="65"/>
        <v>0</v>
      </c>
      <c r="BY36" s="66">
        <f t="shared" si="66"/>
        <v>0</v>
      </c>
      <c r="BZ36" s="66">
        <f t="shared" si="67"/>
        <v>0</v>
      </c>
      <c r="CA36" s="66"/>
      <c r="CB36" s="66">
        <f t="shared" si="68"/>
        <v>0</v>
      </c>
      <c r="CC36" s="22">
        <f t="shared" ref="CC36:CC67" si="92">+CD36/G36</f>
        <v>0</v>
      </c>
      <c r="CD36" s="66">
        <f t="shared" si="9"/>
        <v>0</v>
      </c>
      <c r="CE36" s="66"/>
      <c r="CF36" s="66"/>
      <c r="CG36" s="66"/>
      <c r="CH36" s="66"/>
      <c r="CI36" s="66"/>
      <c r="CJ36" s="66"/>
      <c r="CK36" s="66"/>
      <c r="CL36" s="66"/>
      <c r="CM36" s="66"/>
      <c r="CN36" s="66"/>
      <c r="CO36" s="66"/>
      <c r="CP36" s="66"/>
      <c r="CQ36" s="66"/>
      <c r="CR36" s="66"/>
      <c r="CS36" s="66"/>
      <c r="CT36" s="66"/>
      <c r="CU36" s="66"/>
      <c r="CV36" s="66"/>
      <c r="CW36" s="66"/>
      <c r="CX36" s="66"/>
      <c r="CY36" s="66"/>
      <c r="CZ36" s="66"/>
      <c r="DA36" s="66"/>
      <c r="DB36" s="22">
        <f t="shared" ref="DB36:DB67" si="93">1-CC36</f>
        <v>1</v>
      </c>
      <c r="DC36" s="66">
        <f t="shared" si="11"/>
        <v>5000000</v>
      </c>
      <c r="DD36" s="66">
        <f t="shared" si="69"/>
        <v>0</v>
      </c>
      <c r="DE36" s="66">
        <f t="shared" si="70"/>
        <v>0</v>
      </c>
      <c r="DF36" s="66">
        <f t="shared" si="71"/>
        <v>0</v>
      </c>
      <c r="DG36" s="66">
        <f t="shared" si="43"/>
        <v>0</v>
      </c>
      <c r="DH36" s="66">
        <f t="shared" si="72"/>
        <v>0</v>
      </c>
      <c r="DI36" s="66">
        <f t="shared" si="73"/>
        <v>0</v>
      </c>
      <c r="DJ36" s="66">
        <f t="shared" si="74"/>
        <v>0</v>
      </c>
      <c r="DK36" s="66">
        <f t="shared" si="75"/>
        <v>0</v>
      </c>
      <c r="DL36" s="66">
        <f t="shared" si="76"/>
        <v>0</v>
      </c>
      <c r="DM36" s="66">
        <f t="shared" si="77"/>
        <v>0</v>
      </c>
      <c r="DN36" s="66">
        <f t="shared" si="78"/>
        <v>0</v>
      </c>
      <c r="DO36" s="66">
        <f t="shared" si="79"/>
        <v>0</v>
      </c>
      <c r="DP36" s="66">
        <f t="shared" si="80"/>
        <v>0</v>
      </c>
      <c r="DQ36" s="66">
        <f t="shared" si="81"/>
        <v>0</v>
      </c>
      <c r="DR36" s="66">
        <f t="shared" si="82"/>
        <v>0</v>
      </c>
      <c r="DS36" s="66">
        <f t="shared" si="83"/>
        <v>0</v>
      </c>
      <c r="DT36" s="66">
        <f t="shared" si="84"/>
        <v>5000000</v>
      </c>
      <c r="DU36" s="66">
        <f t="shared" si="85"/>
        <v>0</v>
      </c>
      <c r="DV36" s="66">
        <f t="shared" si="86"/>
        <v>0</v>
      </c>
      <c r="DW36" s="66">
        <f t="shared" si="87"/>
        <v>0</v>
      </c>
      <c r="DX36" s="66">
        <f t="shared" si="88"/>
        <v>0</v>
      </c>
      <c r="DY36" s="66"/>
      <c r="DZ36" s="66">
        <f t="shared" si="89"/>
        <v>0</v>
      </c>
      <c r="EB36" s="9">
        <f t="shared" ref="EB36:EB67" si="94">+G36</f>
        <v>5000000</v>
      </c>
      <c r="EC36" s="9">
        <f t="shared" ref="EC36:EC67" si="95">+AF36+BE36</f>
        <v>5000000</v>
      </c>
      <c r="ED36" s="9">
        <f t="shared" ref="ED36:ED67" si="96">+CD36+DC36</f>
        <v>5000000</v>
      </c>
    </row>
    <row r="37" spans="1:136" ht="26.4" customHeight="1" x14ac:dyDescent="0.3">
      <c r="A37" s="128"/>
      <c r="B37" s="242"/>
      <c r="C37" s="121" t="s">
        <v>287</v>
      </c>
      <c r="D37" s="71" t="s">
        <v>286</v>
      </c>
      <c r="E37" s="87">
        <v>510</v>
      </c>
      <c r="F37" s="67" t="s">
        <v>283</v>
      </c>
      <c r="G37" s="66">
        <f t="shared" si="0"/>
        <v>5000000</v>
      </c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>
        <v>5000000</v>
      </c>
      <c r="Y37" s="66"/>
      <c r="Z37" s="66"/>
      <c r="AA37" s="66"/>
      <c r="AB37" s="66"/>
      <c r="AC37" s="66"/>
      <c r="AD37" s="66"/>
      <c r="AE37" s="22">
        <f t="shared" si="90"/>
        <v>1</v>
      </c>
      <c r="AF37" s="66">
        <f t="shared" si="47"/>
        <v>5000000</v>
      </c>
      <c r="AG37" s="66"/>
      <c r="AH37" s="66"/>
      <c r="AI37" s="66"/>
      <c r="AJ37" s="66"/>
      <c r="AK37" s="66"/>
      <c r="AL37" s="66"/>
      <c r="AM37" s="66"/>
      <c r="AN37" s="66"/>
      <c r="AO37" s="66"/>
      <c r="AP37" s="66"/>
      <c r="AQ37" s="66"/>
      <c r="AR37" s="66"/>
      <c r="AS37" s="66"/>
      <c r="AT37" s="66"/>
      <c r="AU37" s="66"/>
      <c r="AV37" s="66"/>
      <c r="AW37" s="66">
        <f>+'[7]AGOSTO 2019'!$Y$3058</f>
        <v>5000000</v>
      </c>
      <c r="AX37" s="66"/>
      <c r="AY37" s="66"/>
      <c r="AZ37" s="66"/>
      <c r="BA37" s="66"/>
      <c r="BB37" s="66"/>
      <c r="BC37" s="66"/>
      <c r="BD37" s="22">
        <f t="shared" si="91"/>
        <v>0</v>
      </c>
      <c r="BE37" s="66">
        <f t="shared" si="4"/>
        <v>0</v>
      </c>
      <c r="BF37" s="66">
        <f t="shared" si="48"/>
        <v>0</v>
      </c>
      <c r="BG37" s="66">
        <f t="shared" si="49"/>
        <v>0</v>
      </c>
      <c r="BH37" s="66">
        <f t="shared" si="50"/>
        <v>0</v>
      </c>
      <c r="BI37" s="66">
        <f t="shared" si="39"/>
        <v>0</v>
      </c>
      <c r="BJ37" s="66">
        <f t="shared" si="51"/>
        <v>0</v>
      </c>
      <c r="BK37" s="66">
        <f t="shared" si="52"/>
        <v>0</v>
      </c>
      <c r="BL37" s="66">
        <f t="shared" si="53"/>
        <v>0</v>
      </c>
      <c r="BM37" s="66">
        <f t="shared" si="54"/>
        <v>0</v>
      </c>
      <c r="BN37" s="66">
        <f t="shared" si="55"/>
        <v>0</v>
      </c>
      <c r="BO37" s="66">
        <f t="shared" si="56"/>
        <v>0</v>
      </c>
      <c r="BP37" s="66">
        <f t="shared" si="57"/>
        <v>0</v>
      </c>
      <c r="BQ37" s="66">
        <f t="shared" si="58"/>
        <v>0</v>
      </c>
      <c r="BR37" s="66">
        <f t="shared" si="59"/>
        <v>0</v>
      </c>
      <c r="BS37" s="66">
        <f t="shared" si="60"/>
        <v>0</v>
      </c>
      <c r="BT37" s="66">
        <f t="shared" si="61"/>
        <v>0</v>
      </c>
      <c r="BU37" s="66">
        <f t="shared" si="62"/>
        <v>0</v>
      </c>
      <c r="BV37" s="66">
        <f t="shared" si="63"/>
        <v>0</v>
      </c>
      <c r="BW37" s="66">
        <f t="shared" si="64"/>
        <v>0</v>
      </c>
      <c r="BX37" s="66">
        <f t="shared" si="65"/>
        <v>0</v>
      </c>
      <c r="BY37" s="66">
        <f t="shared" si="66"/>
        <v>0</v>
      </c>
      <c r="BZ37" s="66">
        <f t="shared" si="67"/>
        <v>0</v>
      </c>
      <c r="CA37" s="66"/>
      <c r="CB37" s="66">
        <f t="shared" si="68"/>
        <v>0</v>
      </c>
      <c r="CC37" s="22">
        <f t="shared" si="92"/>
        <v>0.87466659999999996</v>
      </c>
      <c r="CD37" s="66">
        <f t="shared" si="9"/>
        <v>4373333</v>
      </c>
      <c r="CE37" s="66"/>
      <c r="CF37" s="66"/>
      <c r="CG37" s="66"/>
      <c r="CH37" s="66"/>
      <c r="CI37" s="66"/>
      <c r="CJ37" s="66"/>
      <c r="CK37" s="66"/>
      <c r="CL37" s="66"/>
      <c r="CM37" s="66"/>
      <c r="CN37" s="66"/>
      <c r="CO37" s="66"/>
      <c r="CP37" s="66"/>
      <c r="CQ37" s="66"/>
      <c r="CR37" s="66"/>
      <c r="CS37" s="66"/>
      <c r="CT37" s="66"/>
      <c r="CU37" s="66">
        <f>+'[1]OCTUBRE 2019'!$H$3984</f>
        <v>4373333</v>
      </c>
      <c r="CV37" s="66"/>
      <c r="CW37" s="66"/>
      <c r="CX37" s="66"/>
      <c r="CY37" s="66"/>
      <c r="CZ37" s="66"/>
      <c r="DA37" s="66"/>
      <c r="DB37" s="22">
        <f t="shared" si="93"/>
        <v>0.12533340000000004</v>
      </c>
      <c r="DC37" s="66">
        <f t="shared" si="11"/>
        <v>626667</v>
      </c>
      <c r="DD37" s="66">
        <f t="shared" si="69"/>
        <v>0</v>
      </c>
      <c r="DE37" s="66">
        <f t="shared" si="70"/>
        <v>0</v>
      </c>
      <c r="DF37" s="66">
        <f t="shared" si="71"/>
        <v>0</v>
      </c>
      <c r="DG37" s="66">
        <f t="shared" si="43"/>
        <v>0</v>
      </c>
      <c r="DH37" s="66">
        <f t="shared" si="72"/>
        <v>0</v>
      </c>
      <c r="DI37" s="66">
        <f t="shared" si="73"/>
        <v>0</v>
      </c>
      <c r="DJ37" s="66">
        <f t="shared" si="74"/>
        <v>0</v>
      </c>
      <c r="DK37" s="66">
        <f t="shared" si="75"/>
        <v>0</v>
      </c>
      <c r="DL37" s="66">
        <f t="shared" si="76"/>
        <v>0</v>
      </c>
      <c r="DM37" s="66">
        <f t="shared" si="77"/>
        <v>0</v>
      </c>
      <c r="DN37" s="66">
        <f t="shared" si="78"/>
        <v>0</v>
      </c>
      <c r="DO37" s="66">
        <f t="shared" si="79"/>
        <v>0</v>
      </c>
      <c r="DP37" s="66">
        <f t="shared" si="80"/>
        <v>0</v>
      </c>
      <c r="DQ37" s="66">
        <f t="shared" si="81"/>
        <v>0</v>
      </c>
      <c r="DR37" s="66">
        <f t="shared" si="82"/>
        <v>0</v>
      </c>
      <c r="DS37" s="66">
        <f t="shared" si="83"/>
        <v>0</v>
      </c>
      <c r="DT37" s="66">
        <f t="shared" si="84"/>
        <v>626667</v>
      </c>
      <c r="DU37" s="66">
        <f t="shared" si="85"/>
        <v>0</v>
      </c>
      <c r="DV37" s="66">
        <f t="shared" si="86"/>
        <v>0</v>
      </c>
      <c r="DW37" s="66">
        <f t="shared" si="87"/>
        <v>0</v>
      </c>
      <c r="DX37" s="66">
        <f t="shared" si="88"/>
        <v>0</v>
      </c>
      <c r="DY37" s="66"/>
      <c r="DZ37" s="66">
        <f t="shared" si="89"/>
        <v>0</v>
      </c>
      <c r="EB37" s="9">
        <f t="shared" si="94"/>
        <v>5000000</v>
      </c>
      <c r="EC37" s="9">
        <f t="shared" si="95"/>
        <v>5000000</v>
      </c>
      <c r="ED37" s="9">
        <f t="shared" si="96"/>
        <v>5000000</v>
      </c>
    </row>
    <row r="38" spans="1:136" ht="57" customHeight="1" x14ac:dyDescent="0.3">
      <c r="A38" s="134"/>
      <c r="B38" s="242"/>
      <c r="C38" s="121" t="s">
        <v>285</v>
      </c>
      <c r="D38" s="71" t="s">
        <v>284</v>
      </c>
      <c r="E38" s="87">
        <v>510</v>
      </c>
      <c r="F38" s="67" t="s">
        <v>283</v>
      </c>
      <c r="G38" s="66">
        <f t="shared" si="0"/>
        <v>5000000</v>
      </c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>
        <v>5000000</v>
      </c>
      <c r="Y38" s="66"/>
      <c r="Z38" s="66"/>
      <c r="AA38" s="66"/>
      <c r="AB38" s="66"/>
      <c r="AC38" s="66"/>
      <c r="AD38" s="66"/>
      <c r="AE38" s="22">
        <f t="shared" si="90"/>
        <v>1</v>
      </c>
      <c r="AF38" s="66">
        <f t="shared" si="47"/>
        <v>5000000</v>
      </c>
      <c r="AG38" s="66"/>
      <c r="AH38" s="66"/>
      <c r="AI38" s="66"/>
      <c r="AJ38" s="66"/>
      <c r="AK38" s="66"/>
      <c r="AL38" s="66"/>
      <c r="AM38" s="66"/>
      <c r="AN38" s="66"/>
      <c r="AO38" s="66"/>
      <c r="AP38" s="66"/>
      <c r="AQ38" s="66"/>
      <c r="AR38" s="66"/>
      <c r="AS38" s="66"/>
      <c r="AT38" s="66"/>
      <c r="AU38" s="66"/>
      <c r="AV38" s="66"/>
      <c r="AW38" s="66">
        <f>+'[3]JULIO 2019'!$Y$2704</f>
        <v>5000000</v>
      </c>
      <c r="AX38" s="66"/>
      <c r="AY38" s="66"/>
      <c r="AZ38" s="66"/>
      <c r="BA38" s="66"/>
      <c r="BB38" s="66"/>
      <c r="BC38" s="66"/>
      <c r="BD38" s="22">
        <f t="shared" si="91"/>
        <v>0</v>
      </c>
      <c r="BE38" s="66">
        <f t="shared" si="4"/>
        <v>0</v>
      </c>
      <c r="BF38" s="66">
        <f t="shared" si="48"/>
        <v>0</v>
      </c>
      <c r="BG38" s="66">
        <f t="shared" si="49"/>
        <v>0</v>
      </c>
      <c r="BH38" s="66">
        <f t="shared" si="50"/>
        <v>0</v>
      </c>
      <c r="BI38" s="66">
        <f t="shared" si="39"/>
        <v>0</v>
      </c>
      <c r="BJ38" s="66">
        <f t="shared" si="51"/>
        <v>0</v>
      </c>
      <c r="BK38" s="66">
        <f t="shared" si="52"/>
        <v>0</v>
      </c>
      <c r="BL38" s="66">
        <f t="shared" si="53"/>
        <v>0</v>
      </c>
      <c r="BM38" s="66">
        <f t="shared" si="54"/>
        <v>0</v>
      </c>
      <c r="BN38" s="66">
        <f t="shared" si="55"/>
        <v>0</v>
      </c>
      <c r="BO38" s="66">
        <f t="shared" si="56"/>
        <v>0</v>
      </c>
      <c r="BP38" s="66">
        <f t="shared" si="57"/>
        <v>0</v>
      </c>
      <c r="BQ38" s="66">
        <f t="shared" si="58"/>
        <v>0</v>
      </c>
      <c r="BR38" s="66">
        <f t="shared" si="59"/>
        <v>0</v>
      </c>
      <c r="BS38" s="66">
        <f t="shared" si="60"/>
        <v>0</v>
      </c>
      <c r="BT38" s="66">
        <f t="shared" si="61"/>
        <v>0</v>
      </c>
      <c r="BU38" s="66">
        <f t="shared" si="62"/>
        <v>0</v>
      </c>
      <c r="BV38" s="66">
        <f t="shared" si="63"/>
        <v>0</v>
      </c>
      <c r="BW38" s="66">
        <f t="shared" si="64"/>
        <v>0</v>
      </c>
      <c r="BX38" s="66">
        <f t="shared" si="65"/>
        <v>0</v>
      </c>
      <c r="BY38" s="66">
        <f t="shared" si="66"/>
        <v>0</v>
      </c>
      <c r="BZ38" s="66">
        <f t="shared" si="67"/>
        <v>0</v>
      </c>
      <c r="CA38" s="66"/>
      <c r="CB38" s="66">
        <f t="shared" si="68"/>
        <v>0</v>
      </c>
      <c r="CC38" s="22">
        <f t="shared" si="92"/>
        <v>1</v>
      </c>
      <c r="CD38" s="66">
        <f t="shared" si="9"/>
        <v>5000000</v>
      </c>
      <c r="CE38" s="66"/>
      <c r="CF38" s="66"/>
      <c r="CG38" s="66"/>
      <c r="CH38" s="66"/>
      <c r="CI38" s="66"/>
      <c r="CJ38" s="66"/>
      <c r="CK38" s="66"/>
      <c r="CL38" s="66"/>
      <c r="CM38" s="66"/>
      <c r="CN38" s="66"/>
      <c r="CO38" s="66"/>
      <c r="CP38" s="66"/>
      <c r="CQ38" s="66"/>
      <c r="CR38" s="66"/>
      <c r="CS38" s="66"/>
      <c r="CT38" s="66"/>
      <c r="CU38" s="66">
        <f>+'[7]AGOSTO 2019'!$Y$3064</f>
        <v>5000000</v>
      </c>
      <c r="CV38" s="66"/>
      <c r="CW38" s="66"/>
      <c r="CX38" s="66"/>
      <c r="CY38" s="66"/>
      <c r="CZ38" s="66"/>
      <c r="DA38" s="66"/>
      <c r="DB38" s="22">
        <f t="shared" si="93"/>
        <v>0</v>
      </c>
      <c r="DC38" s="66">
        <f t="shared" si="11"/>
        <v>0</v>
      </c>
      <c r="DD38" s="66">
        <f t="shared" si="69"/>
        <v>0</v>
      </c>
      <c r="DE38" s="66">
        <f t="shared" si="70"/>
        <v>0</v>
      </c>
      <c r="DF38" s="66">
        <f t="shared" si="71"/>
        <v>0</v>
      </c>
      <c r="DG38" s="66">
        <f t="shared" si="43"/>
        <v>0</v>
      </c>
      <c r="DH38" s="66">
        <f t="shared" si="72"/>
        <v>0</v>
      </c>
      <c r="DI38" s="66">
        <f t="shared" si="73"/>
        <v>0</v>
      </c>
      <c r="DJ38" s="66">
        <f t="shared" si="74"/>
        <v>0</v>
      </c>
      <c r="DK38" s="66">
        <f t="shared" si="75"/>
        <v>0</v>
      </c>
      <c r="DL38" s="66">
        <f t="shared" si="76"/>
        <v>0</v>
      </c>
      <c r="DM38" s="66">
        <f t="shared" si="77"/>
        <v>0</v>
      </c>
      <c r="DN38" s="66">
        <f t="shared" si="78"/>
        <v>0</v>
      </c>
      <c r="DO38" s="66">
        <f t="shared" si="79"/>
        <v>0</v>
      </c>
      <c r="DP38" s="66">
        <f t="shared" si="80"/>
        <v>0</v>
      </c>
      <c r="DQ38" s="66">
        <f t="shared" si="81"/>
        <v>0</v>
      </c>
      <c r="DR38" s="66">
        <f t="shared" si="82"/>
        <v>0</v>
      </c>
      <c r="DS38" s="66">
        <f t="shared" si="83"/>
        <v>0</v>
      </c>
      <c r="DT38" s="66">
        <f t="shared" si="84"/>
        <v>0</v>
      </c>
      <c r="DU38" s="66">
        <f t="shared" si="85"/>
        <v>0</v>
      </c>
      <c r="DV38" s="66">
        <f t="shared" si="86"/>
        <v>0</v>
      </c>
      <c r="DW38" s="66">
        <f t="shared" si="87"/>
        <v>0</v>
      </c>
      <c r="DX38" s="66">
        <f t="shared" si="88"/>
        <v>0</v>
      </c>
      <c r="DY38" s="66"/>
      <c r="DZ38" s="66">
        <f t="shared" si="89"/>
        <v>0</v>
      </c>
      <c r="EB38" s="9">
        <f t="shared" si="94"/>
        <v>5000000</v>
      </c>
      <c r="EC38" s="9">
        <f t="shared" si="95"/>
        <v>5000000</v>
      </c>
      <c r="ED38" s="9">
        <f t="shared" si="96"/>
        <v>5000000</v>
      </c>
    </row>
    <row r="39" spans="1:136" s="59" customFormat="1" ht="17.25" customHeight="1" thickBot="1" x14ac:dyDescent="0.35">
      <c r="A39" s="133"/>
      <c r="B39" s="243" t="s">
        <v>282</v>
      </c>
      <c r="C39" s="243"/>
      <c r="D39" s="243"/>
      <c r="E39" s="243"/>
      <c r="F39" s="132"/>
      <c r="G39" s="131">
        <f t="shared" ref="G39:AD39" si="97">SUM(G4:G38)</f>
        <v>4377995649</v>
      </c>
      <c r="H39" s="131">
        <f t="shared" si="97"/>
        <v>23655791</v>
      </c>
      <c r="I39" s="131">
        <f t="shared" si="97"/>
        <v>1141800000</v>
      </c>
      <c r="J39" s="131">
        <f t="shared" si="97"/>
        <v>80644090</v>
      </c>
      <c r="K39" s="131">
        <f t="shared" si="97"/>
        <v>300000000</v>
      </c>
      <c r="L39" s="131">
        <f t="shared" si="97"/>
        <v>0</v>
      </c>
      <c r="M39" s="131">
        <f t="shared" si="97"/>
        <v>0</v>
      </c>
      <c r="N39" s="131">
        <f t="shared" si="97"/>
        <v>244096406</v>
      </c>
      <c r="O39" s="131">
        <f t="shared" si="97"/>
        <v>300000000</v>
      </c>
      <c r="P39" s="131">
        <f t="shared" si="97"/>
        <v>65000000</v>
      </c>
      <c r="Q39" s="131">
        <f t="shared" si="97"/>
        <v>15000000</v>
      </c>
      <c r="R39" s="131">
        <f t="shared" si="97"/>
        <v>55000000</v>
      </c>
      <c r="S39" s="131">
        <f t="shared" si="97"/>
        <v>0</v>
      </c>
      <c r="T39" s="131">
        <f t="shared" si="97"/>
        <v>0</v>
      </c>
      <c r="U39" s="131">
        <f t="shared" si="97"/>
        <v>51586236</v>
      </c>
      <c r="V39" s="131">
        <f t="shared" si="97"/>
        <v>0</v>
      </c>
      <c r="W39" s="131">
        <f t="shared" si="97"/>
        <v>30000000</v>
      </c>
      <c r="X39" s="131">
        <f t="shared" si="97"/>
        <v>312000000</v>
      </c>
      <c r="Y39" s="131">
        <f t="shared" si="97"/>
        <v>79000000</v>
      </c>
      <c r="Z39" s="131">
        <f t="shared" si="97"/>
        <v>0</v>
      </c>
      <c r="AA39" s="131">
        <f t="shared" si="97"/>
        <v>0</v>
      </c>
      <c r="AB39" s="131">
        <f t="shared" si="97"/>
        <v>0</v>
      </c>
      <c r="AC39" s="131">
        <f t="shared" si="97"/>
        <v>972811018</v>
      </c>
      <c r="AD39" s="131">
        <f t="shared" si="97"/>
        <v>707402108</v>
      </c>
      <c r="AE39" s="62">
        <f t="shared" si="90"/>
        <v>0.71128380283139014</v>
      </c>
      <c r="AF39" s="130">
        <f>SUM(AF4:AF38)</f>
        <v>3113997394</v>
      </c>
      <c r="AG39" s="130">
        <f>SUM(AG4:AG38)</f>
        <v>0</v>
      </c>
      <c r="AH39" s="130">
        <f>SUM(AH4:AH38)</f>
        <v>1089065583</v>
      </c>
      <c r="AI39" s="130">
        <f>SUM(AI4:AI38)</f>
        <v>71205370</v>
      </c>
      <c r="AJ39" s="130"/>
      <c r="AK39" s="130">
        <f t="shared" ref="AK39:BC39" si="98">SUM(AK4:AK38)</f>
        <v>0</v>
      </c>
      <c r="AL39" s="130">
        <f t="shared" si="98"/>
        <v>0</v>
      </c>
      <c r="AM39" s="130">
        <f t="shared" si="98"/>
        <v>236438964</v>
      </c>
      <c r="AN39" s="130">
        <f t="shared" si="98"/>
        <v>300000000</v>
      </c>
      <c r="AO39" s="130">
        <f t="shared" si="98"/>
        <v>0</v>
      </c>
      <c r="AP39" s="130">
        <f t="shared" si="98"/>
        <v>14999964</v>
      </c>
      <c r="AQ39" s="130">
        <f t="shared" si="98"/>
        <v>0</v>
      </c>
      <c r="AR39" s="130">
        <f t="shared" si="98"/>
        <v>0</v>
      </c>
      <c r="AS39" s="130">
        <f t="shared" si="98"/>
        <v>0</v>
      </c>
      <c r="AT39" s="130">
        <f t="shared" si="98"/>
        <v>0</v>
      </c>
      <c r="AU39" s="130">
        <f t="shared" si="98"/>
        <v>0</v>
      </c>
      <c r="AV39" s="130">
        <f t="shared" si="98"/>
        <v>30000000</v>
      </c>
      <c r="AW39" s="130">
        <f t="shared" si="98"/>
        <v>255244655</v>
      </c>
      <c r="AX39" s="130">
        <f t="shared" si="98"/>
        <v>21500000</v>
      </c>
      <c r="AY39" s="130">
        <f t="shared" si="98"/>
        <v>0</v>
      </c>
      <c r="AZ39" s="130">
        <f t="shared" si="98"/>
        <v>0</v>
      </c>
      <c r="BA39" s="130">
        <f t="shared" si="98"/>
        <v>0</v>
      </c>
      <c r="BB39" s="130">
        <f t="shared" si="98"/>
        <v>564330000</v>
      </c>
      <c r="BC39" s="130">
        <f t="shared" si="98"/>
        <v>531212858</v>
      </c>
      <c r="BD39" s="62">
        <f t="shared" si="91"/>
        <v>0.28871619716860986</v>
      </c>
      <c r="BE39" s="130">
        <f t="shared" ref="BE39:CB39" si="99">SUM(BE4:BE38)</f>
        <v>1263998255</v>
      </c>
      <c r="BF39" s="130">
        <f t="shared" si="99"/>
        <v>23655791</v>
      </c>
      <c r="BG39" s="130">
        <f t="shared" si="99"/>
        <v>52734417</v>
      </c>
      <c r="BH39" s="130">
        <f t="shared" si="99"/>
        <v>9438720</v>
      </c>
      <c r="BI39" s="130">
        <f t="shared" si="99"/>
        <v>300000000</v>
      </c>
      <c r="BJ39" s="130">
        <f t="shared" si="99"/>
        <v>0</v>
      </c>
      <c r="BK39" s="130">
        <f t="shared" si="99"/>
        <v>0</v>
      </c>
      <c r="BL39" s="130">
        <f t="shared" si="99"/>
        <v>7657442</v>
      </c>
      <c r="BM39" s="130">
        <f t="shared" si="99"/>
        <v>0</v>
      </c>
      <c r="BN39" s="130">
        <f t="shared" si="99"/>
        <v>65000000</v>
      </c>
      <c r="BO39" s="130">
        <f t="shared" si="99"/>
        <v>36</v>
      </c>
      <c r="BP39" s="130">
        <f t="shared" si="99"/>
        <v>55000000</v>
      </c>
      <c r="BQ39" s="130">
        <f t="shared" si="99"/>
        <v>0</v>
      </c>
      <c r="BR39" s="130">
        <f t="shared" si="99"/>
        <v>0</v>
      </c>
      <c r="BS39" s="130">
        <f t="shared" si="99"/>
        <v>51586236</v>
      </c>
      <c r="BT39" s="130">
        <f t="shared" si="99"/>
        <v>0</v>
      </c>
      <c r="BU39" s="130">
        <f t="shared" si="99"/>
        <v>0</v>
      </c>
      <c r="BV39" s="130">
        <f t="shared" si="99"/>
        <v>56755345</v>
      </c>
      <c r="BW39" s="130">
        <f t="shared" si="99"/>
        <v>57500000</v>
      </c>
      <c r="BX39" s="130">
        <f t="shared" si="99"/>
        <v>0</v>
      </c>
      <c r="BY39" s="130">
        <f t="shared" si="99"/>
        <v>0</v>
      </c>
      <c r="BZ39" s="130">
        <f t="shared" si="99"/>
        <v>0</v>
      </c>
      <c r="CA39" s="130">
        <f t="shared" si="99"/>
        <v>408481018</v>
      </c>
      <c r="CB39" s="130">
        <f t="shared" si="99"/>
        <v>176189250</v>
      </c>
      <c r="CC39" s="62">
        <f t="shared" si="92"/>
        <v>0.58177643748498842</v>
      </c>
      <c r="CD39" s="130">
        <f>SUM(CD4:CD38)</f>
        <v>2547014712</v>
      </c>
      <c r="CE39" s="130">
        <f>SUM(CE4:CE38)</f>
        <v>0</v>
      </c>
      <c r="CF39" s="130">
        <f>SUM(CF4:CF38)</f>
        <v>934440476</v>
      </c>
      <c r="CG39" s="130">
        <f>SUM(CG4:CG38)</f>
        <v>33329347</v>
      </c>
      <c r="CH39" s="130"/>
      <c r="CI39" s="130">
        <f t="shared" ref="CI39:DA39" si="100">SUM(CI4:CI38)</f>
        <v>0</v>
      </c>
      <c r="CJ39" s="130">
        <f t="shared" si="100"/>
        <v>0</v>
      </c>
      <c r="CK39" s="130">
        <f t="shared" si="100"/>
        <v>236438964</v>
      </c>
      <c r="CL39" s="130">
        <f t="shared" si="100"/>
        <v>300000000</v>
      </c>
      <c r="CM39" s="130">
        <f t="shared" si="100"/>
        <v>0</v>
      </c>
      <c r="CN39" s="130">
        <f t="shared" si="100"/>
        <v>14999964</v>
      </c>
      <c r="CO39" s="130">
        <f t="shared" si="100"/>
        <v>0</v>
      </c>
      <c r="CP39" s="130">
        <f t="shared" si="100"/>
        <v>0</v>
      </c>
      <c r="CQ39" s="130">
        <f t="shared" si="100"/>
        <v>0</v>
      </c>
      <c r="CR39" s="130">
        <f t="shared" si="100"/>
        <v>0</v>
      </c>
      <c r="CS39" s="130">
        <f t="shared" si="100"/>
        <v>0</v>
      </c>
      <c r="CT39" s="130">
        <f t="shared" si="100"/>
        <v>27384000</v>
      </c>
      <c r="CU39" s="130">
        <f t="shared" si="100"/>
        <v>217057833</v>
      </c>
      <c r="CV39" s="130">
        <f t="shared" si="100"/>
        <v>11200000</v>
      </c>
      <c r="CW39" s="130">
        <f t="shared" si="100"/>
        <v>0</v>
      </c>
      <c r="CX39" s="130">
        <f t="shared" si="100"/>
        <v>0</v>
      </c>
      <c r="CY39" s="130">
        <f t="shared" si="100"/>
        <v>0</v>
      </c>
      <c r="CZ39" s="130">
        <f t="shared" si="100"/>
        <v>467044183</v>
      </c>
      <c r="DA39" s="130">
        <f t="shared" si="100"/>
        <v>305119945</v>
      </c>
      <c r="DB39" s="62">
        <f t="shared" si="93"/>
        <v>0.41822356251501158</v>
      </c>
      <c r="DC39" s="130">
        <f t="shared" ref="DC39:DZ39" si="101">SUM(DC4:DC38)</f>
        <v>1830980937</v>
      </c>
      <c r="DD39" s="130">
        <f t="shared" si="101"/>
        <v>23655791</v>
      </c>
      <c r="DE39" s="130">
        <f t="shared" si="101"/>
        <v>207359524</v>
      </c>
      <c r="DF39" s="130">
        <f t="shared" si="101"/>
        <v>47314743</v>
      </c>
      <c r="DG39" s="130">
        <f t="shared" si="101"/>
        <v>300000000</v>
      </c>
      <c r="DH39" s="130">
        <f t="shared" si="101"/>
        <v>0</v>
      </c>
      <c r="DI39" s="130">
        <f t="shared" si="101"/>
        <v>0</v>
      </c>
      <c r="DJ39" s="130">
        <f t="shared" si="101"/>
        <v>7657442</v>
      </c>
      <c r="DK39" s="130">
        <f t="shared" si="101"/>
        <v>0</v>
      </c>
      <c r="DL39" s="130">
        <f t="shared" si="101"/>
        <v>65000000</v>
      </c>
      <c r="DM39" s="130">
        <f t="shared" si="101"/>
        <v>36</v>
      </c>
      <c r="DN39" s="130">
        <f t="shared" si="101"/>
        <v>55000000</v>
      </c>
      <c r="DO39" s="130">
        <f t="shared" si="101"/>
        <v>0</v>
      </c>
      <c r="DP39" s="130">
        <f t="shared" si="101"/>
        <v>0</v>
      </c>
      <c r="DQ39" s="130">
        <f t="shared" si="101"/>
        <v>51586236</v>
      </c>
      <c r="DR39" s="130">
        <f t="shared" si="101"/>
        <v>0</v>
      </c>
      <c r="DS39" s="130">
        <f t="shared" si="101"/>
        <v>2616000</v>
      </c>
      <c r="DT39" s="130">
        <f t="shared" si="101"/>
        <v>94942167</v>
      </c>
      <c r="DU39" s="130">
        <f t="shared" si="101"/>
        <v>67800000</v>
      </c>
      <c r="DV39" s="130">
        <f t="shared" si="101"/>
        <v>0</v>
      </c>
      <c r="DW39" s="130">
        <f t="shared" si="101"/>
        <v>0</v>
      </c>
      <c r="DX39" s="130">
        <f t="shared" si="101"/>
        <v>0</v>
      </c>
      <c r="DY39" s="130">
        <f t="shared" si="101"/>
        <v>505766835</v>
      </c>
      <c r="DZ39" s="130">
        <f t="shared" si="101"/>
        <v>402282163</v>
      </c>
      <c r="EB39" s="9">
        <f t="shared" si="94"/>
        <v>4377995649</v>
      </c>
      <c r="EC39" s="9">
        <f t="shared" si="95"/>
        <v>4377995649</v>
      </c>
      <c r="ED39" s="9">
        <f t="shared" si="96"/>
        <v>4377995649</v>
      </c>
      <c r="EF39" s="60"/>
    </row>
    <row r="40" spans="1:136" ht="29.4" customHeight="1" thickTop="1" x14ac:dyDescent="0.3">
      <c r="A40" s="129" t="s">
        <v>236</v>
      </c>
      <c r="B40" s="235" t="s">
        <v>281</v>
      </c>
      <c r="C40" s="121" t="s">
        <v>280</v>
      </c>
      <c r="D40" s="71" t="s">
        <v>279</v>
      </c>
      <c r="E40" s="87">
        <v>410</v>
      </c>
      <c r="F40" s="67" t="s">
        <v>127</v>
      </c>
      <c r="G40" s="66">
        <f t="shared" ref="G40:G79" si="102">SUM(H40:AD40)</f>
        <v>127934437</v>
      </c>
      <c r="H40" s="66"/>
      <c r="I40" s="66"/>
      <c r="J40" s="66"/>
      <c r="K40" s="66"/>
      <c r="L40" s="66"/>
      <c r="M40" s="66"/>
      <c r="N40" s="66"/>
      <c r="O40" s="66">
        <f>105848404+22086033</f>
        <v>127934437</v>
      </c>
      <c r="P40" s="35"/>
      <c r="Q40" s="35"/>
      <c r="R40" s="35"/>
      <c r="S40" s="35"/>
      <c r="T40" s="35"/>
      <c r="U40" s="35"/>
      <c r="V40" s="35"/>
      <c r="W40" s="35"/>
      <c r="X40" s="66"/>
      <c r="Y40" s="35"/>
      <c r="Z40" s="35"/>
      <c r="AA40" s="35"/>
      <c r="AB40" s="35"/>
      <c r="AC40" s="35"/>
      <c r="AD40" s="35"/>
      <c r="AE40" s="114">
        <f t="shared" si="90"/>
        <v>0.80737250596569243</v>
      </c>
      <c r="AF40" s="66">
        <f t="shared" ref="AF40:AF79" si="103">SUM(AG40:BC40)</f>
        <v>103290747</v>
      </c>
      <c r="AG40" s="66"/>
      <c r="AH40" s="66"/>
      <c r="AI40" s="66"/>
      <c r="AJ40" s="66"/>
      <c r="AK40" s="66"/>
      <c r="AL40" s="66"/>
      <c r="AM40" s="66"/>
      <c r="AN40" s="66">
        <f>+'[1]OCTUBRE 2019'!$Q$1639</f>
        <v>103290747</v>
      </c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114">
        <f t="shared" si="91"/>
        <v>0.19262749403430757</v>
      </c>
      <c r="BE40" s="66">
        <f t="shared" ref="BE40:BE79" si="104">SUM(BF40:CB40)</f>
        <v>24643690</v>
      </c>
      <c r="BF40" s="66">
        <f t="shared" ref="BF40:BF79" si="105">H40-AG40</f>
        <v>0</v>
      </c>
      <c r="BG40" s="66">
        <f t="shared" ref="BG40:BG79" si="106">I40-AH40</f>
        <v>0</v>
      </c>
      <c r="BH40" s="66">
        <f t="shared" ref="BH40:BH79" si="107">J40-AI40</f>
        <v>0</v>
      </c>
      <c r="BI40" s="66">
        <f t="shared" ref="BI40:BI79" si="108">+K40-AJ40</f>
        <v>0</v>
      </c>
      <c r="BJ40" s="66">
        <f t="shared" ref="BJ40:BJ79" si="109">L40-AK40</f>
        <v>0</v>
      </c>
      <c r="BK40" s="66">
        <f t="shared" ref="BK40:BK79" si="110">M40-AL40</f>
        <v>0</v>
      </c>
      <c r="BL40" s="66">
        <f t="shared" ref="BL40:BL79" si="111">N40-AM40</f>
        <v>0</v>
      </c>
      <c r="BM40" s="66">
        <f t="shared" ref="BM40:BM79" si="112">O40-AN40</f>
        <v>24643690</v>
      </c>
      <c r="BN40" s="66">
        <f t="shared" ref="BN40:BN79" si="113">P40-AO40</f>
        <v>0</v>
      </c>
      <c r="BO40" s="66">
        <f t="shared" ref="BO40:BO79" si="114">Q40-AP40</f>
        <v>0</v>
      </c>
      <c r="BP40" s="66">
        <f t="shared" ref="BP40:BP79" si="115">R40-AQ40</f>
        <v>0</v>
      </c>
      <c r="BQ40" s="66">
        <f t="shared" ref="BQ40:BQ79" si="116">S40-AR40</f>
        <v>0</v>
      </c>
      <c r="BR40" s="66">
        <f t="shared" ref="BR40:BR79" si="117">T40-AS40</f>
        <v>0</v>
      </c>
      <c r="BS40" s="66">
        <f t="shared" ref="BS40:BS79" si="118">U40-AT40</f>
        <v>0</v>
      </c>
      <c r="BT40" s="66">
        <f t="shared" ref="BT40:BT79" si="119">V40-AU40</f>
        <v>0</v>
      </c>
      <c r="BU40" s="66">
        <f t="shared" ref="BU40:BU79" si="120">W40-AV40</f>
        <v>0</v>
      </c>
      <c r="BV40" s="66">
        <f t="shared" ref="BV40:BV79" si="121">X40-AW40</f>
        <v>0</v>
      </c>
      <c r="BW40" s="66">
        <f t="shared" ref="BW40:BW79" si="122">Y40-AX40</f>
        <v>0</v>
      </c>
      <c r="BX40" s="66">
        <f t="shared" ref="BX40:BX79" si="123">Z40-AY40</f>
        <v>0</v>
      </c>
      <c r="BY40" s="66">
        <f t="shared" ref="BY40:BY79" si="124">AA40-AZ40</f>
        <v>0</v>
      </c>
      <c r="BZ40" s="66">
        <f t="shared" ref="BZ40:BZ79" si="125">AB40-BA40</f>
        <v>0</v>
      </c>
      <c r="CA40" s="66"/>
      <c r="CB40" s="66">
        <f t="shared" ref="CB40:CB79" si="126">AD40-BC40</f>
        <v>0</v>
      </c>
      <c r="CC40" s="114">
        <f t="shared" si="92"/>
        <v>9.7620705518092835E-2</v>
      </c>
      <c r="CD40" s="99">
        <f t="shared" ref="CD40:CD79" si="127">SUM(CE40:DA40)</f>
        <v>12489050</v>
      </c>
      <c r="CE40" s="99"/>
      <c r="CF40" s="99"/>
      <c r="CG40" s="99"/>
      <c r="CH40" s="99"/>
      <c r="CI40" s="99"/>
      <c r="CJ40" s="99"/>
      <c r="CK40" s="99"/>
      <c r="CL40" s="99">
        <f>+'[7]AGOSTO 2019'!$H$1223</f>
        <v>12489050</v>
      </c>
      <c r="CM40" s="99"/>
      <c r="CN40" s="99"/>
      <c r="CO40" s="99"/>
      <c r="CP40" s="99"/>
      <c r="CQ40" s="99"/>
      <c r="CR40" s="99"/>
      <c r="CS40" s="99"/>
      <c r="CT40" s="99"/>
      <c r="CU40" s="99"/>
      <c r="CV40" s="99"/>
      <c r="CW40" s="99"/>
      <c r="CX40" s="99"/>
      <c r="CY40" s="99"/>
      <c r="CZ40" s="99"/>
      <c r="DA40" s="99"/>
      <c r="DB40" s="114">
        <f t="shared" si="93"/>
        <v>0.90237929448190712</v>
      </c>
      <c r="DC40" s="66">
        <f t="shared" ref="DC40:DC79" si="128">SUM(DD40:DZ40)</f>
        <v>115445387</v>
      </c>
      <c r="DD40" s="66">
        <f t="shared" ref="DD40:DD79" si="129">H40-CE40</f>
        <v>0</v>
      </c>
      <c r="DE40" s="66">
        <f t="shared" ref="DE40:DE79" si="130">I40-CF40</f>
        <v>0</v>
      </c>
      <c r="DF40" s="66">
        <f t="shared" ref="DF40:DF79" si="131">J40-CG40</f>
        <v>0</v>
      </c>
      <c r="DG40" s="66">
        <f t="shared" ref="DG40:DG79" si="132">K40-CH40</f>
        <v>0</v>
      </c>
      <c r="DH40" s="66">
        <f t="shared" ref="DH40:DH79" si="133">L40-CI40</f>
        <v>0</v>
      </c>
      <c r="DI40" s="66">
        <f t="shared" ref="DI40:DI79" si="134">M40-CJ40</f>
        <v>0</v>
      </c>
      <c r="DJ40" s="66">
        <f t="shared" ref="DJ40:DJ79" si="135">N40-CK40</f>
        <v>0</v>
      </c>
      <c r="DK40" s="66">
        <f t="shared" ref="DK40:DK79" si="136">O40-CL40</f>
        <v>115445387</v>
      </c>
      <c r="DL40" s="66">
        <f t="shared" ref="DL40:DL79" si="137">P40-CM40</f>
        <v>0</v>
      </c>
      <c r="DM40" s="66">
        <f t="shared" ref="DM40:DM79" si="138">Q40-CN40</f>
        <v>0</v>
      </c>
      <c r="DN40" s="66">
        <f t="shared" ref="DN40:DN79" si="139">R40-CO40</f>
        <v>0</v>
      </c>
      <c r="DO40" s="66">
        <f t="shared" ref="DO40:DO79" si="140">S40-CP40</f>
        <v>0</v>
      </c>
      <c r="DP40" s="66">
        <f t="shared" ref="DP40:DP79" si="141">T40-CQ40</f>
        <v>0</v>
      </c>
      <c r="DQ40" s="66">
        <f t="shared" ref="DQ40:DQ79" si="142">U40-CR40</f>
        <v>0</v>
      </c>
      <c r="DR40" s="66">
        <f t="shared" ref="DR40:DR79" si="143">V40-CS40</f>
        <v>0</v>
      </c>
      <c r="DS40" s="66">
        <f t="shared" ref="DS40:DS79" si="144">W40-CT40</f>
        <v>0</v>
      </c>
      <c r="DT40" s="66">
        <f t="shared" ref="DT40:DT79" si="145">X40-CU40</f>
        <v>0</v>
      </c>
      <c r="DU40" s="66">
        <f t="shared" ref="DU40:DU79" si="146">Y40-CV40</f>
        <v>0</v>
      </c>
      <c r="DV40" s="66">
        <f t="shared" ref="DV40:DV79" si="147">Z40-CW40</f>
        <v>0</v>
      </c>
      <c r="DW40" s="66">
        <f t="shared" ref="DW40:DW79" si="148">AA40-CX40</f>
        <v>0</v>
      </c>
      <c r="DX40" s="66">
        <f t="shared" ref="DX40:DX79" si="149">AB40-CY40</f>
        <v>0</v>
      </c>
      <c r="DY40" s="66"/>
      <c r="DZ40" s="66">
        <f t="shared" ref="DZ40:DZ79" si="150">AD40-DA40</f>
        <v>0</v>
      </c>
      <c r="EB40" s="9">
        <f t="shared" si="94"/>
        <v>127934437</v>
      </c>
      <c r="EC40" s="9">
        <f t="shared" si="95"/>
        <v>127934437</v>
      </c>
      <c r="ED40" s="9">
        <f t="shared" si="96"/>
        <v>127934437</v>
      </c>
    </row>
    <row r="41" spans="1:136" ht="45" customHeight="1" x14ac:dyDescent="0.3">
      <c r="A41" s="128"/>
      <c r="B41" s="235"/>
      <c r="C41" s="121" t="s">
        <v>278</v>
      </c>
      <c r="D41" s="71" t="s">
        <v>277</v>
      </c>
      <c r="E41" s="87">
        <v>410</v>
      </c>
      <c r="F41" s="67" t="s">
        <v>127</v>
      </c>
      <c r="G41" s="66">
        <f t="shared" si="102"/>
        <v>467922436</v>
      </c>
      <c r="H41" s="66"/>
      <c r="I41" s="66"/>
      <c r="J41" s="66"/>
      <c r="K41" s="66"/>
      <c r="L41" s="66"/>
      <c r="M41" s="66"/>
      <c r="N41" s="66"/>
      <c r="O41" s="66">
        <f>200000000+156000000+21723740</f>
        <v>377723740</v>
      </c>
      <c r="P41" s="66"/>
      <c r="Q41" s="66"/>
      <c r="R41" s="66"/>
      <c r="S41" s="66">
        <v>25617559</v>
      </c>
      <c r="T41" s="66"/>
      <c r="U41" s="66"/>
      <c r="V41" s="66"/>
      <c r="W41" s="66"/>
      <c r="X41" s="66"/>
      <c r="Y41" s="66"/>
      <c r="Z41" s="66">
        <f>49229363+15351774</f>
        <v>64581137</v>
      </c>
      <c r="AA41" s="66"/>
      <c r="AB41" s="66"/>
      <c r="AC41" s="66"/>
      <c r="AD41" s="66"/>
      <c r="AE41" s="22">
        <f t="shared" si="90"/>
        <v>0.95364813838505491</v>
      </c>
      <c r="AF41" s="66">
        <f t="shared" si="103"/>
        <v>446233360</v>
      </c>
      <c r="AG41" s="66"/>
      <c r="AH41" s="66"/>
      <c r="AI41" s="66"/>
      <c r="AJ41" s="66"/>
      <c r="AK41" s="66"/>
      <c r="AL41" s="66"/>
      <c r="AM41" s="66"/>
      <c r="AN41" s="66">
        <f>+'[2]SEPTIEMBRE 2019'!$Q$1482</f>
        <v>376835867</v>
      </c>
      <c r="AO41" s="66"/>
      <c r="AP41" s="66"/>
      <c r="AQ41" s="66"/>
      <c r="AR41" s="66">
        <f>+'[1]OCTUBRE 2019'!$U$1653</f>
        <v>20415783</v>
      </c>
      <c r="AS41" s="66"/>
      <c r="AT41" s="66"/>
      <c r="AU41" s="66"/>
      <c r="AV41" s="66"/>
      <c r="AW41" s="66"/>
      <c r="AX41" s="66"/>
      <c r="AY41" s="66">
        <f>+'[2]SEPTIEMBRE 2019'!$AB$1482</f>
        <v>48981710</v>
      </c>
      <c r="AZ41" s="66"/>
      <c r="BA41" s="66"/>
      <c r="BB41" s="66"/>
      <c r="BC41" s="66"/>
      <c r="BD41" s="22">
        <f t="shared" si="91"/>
        <v>4.6351861614945089E-2</v>
      </c>
      <c r="BE41" s="66">
        <f t="shared" si="104"/>
        <v>21689076</v>
      </c>
      <c r="BF41" s="66">
        <f t="shared" si="105"/>
        <v>0</v>
      </c>
      <c r="BG41" s="66">
        <f t="shared" si="106"/>
        <v>0</v>
      </c>
      <c r="BH41" s="66">
        <f t="shared" si="107"/>
        <v>0</v>
      </c>
      <c r="BI41" s="66">
        <f t="shared" si="108"/>
        <v>0</v>
      </c>
      <c r="BJ41" s="66">
        <f t="shared" si="109"/>
        <v>0</v>
      </c>
      <c r="BK41" s="66">
        <f t="shared" si="110"/>
        <v>0</v>
      </c>
      <c r="BL41" s="66">
        <f t="shared" si="111"/>
        <v>0</v>
      </c>
      <c r="BM41" s="66">
        <f t="shared" si="112"/>
        <v>887873</v>
      </c>
      <c r="BN41" s="66">
        <f t="shared" si="113"/>
        <v>0</v>
      </c>
      <c r="BO41" s="66">
        <f t="shared" si="114"/>
        <v>0</v>
      </c>
      <c r="BP41" s="66">
        <f t="shared" si="115"/>
        <v>0</v>
      </c>
      <c r="BQ41" s="66">
        <f t="shared" si="116"/>
        <v>5201776</v>
      </c>
      <c r="BR41" s="66">
        <f t="shared" si="117"/>
        <v>0</v>
      </c>
      <c r="BS41" s="66">
        <f t="shared" si="118"/>
        <v>0</v>
      </c>
      <c r="BT41" s="66">
        <f t="shared" si="119"/>
        <v>0</v>
      </c>
      <c r="BU41" s="66">
        <f t="shared" si="120"/>
        <v>0</v>
      </c>
      <c r="BV41" s="66">
        <f t="shared" si="121"/>
        <v>0</v>
      </c>
      <c r="BW41" s="66">
        <f t="shared" si="122"/>
        <v>0</v>
      </c>
      <c r="BX41" s="66">
        <f t="shared" si="123"/>
        <v>15599427</v>
      </c>
      <c r="BY41" s="66">
        <f t="shared" si="124"/>
        <v>0</v>
      </c>
      <c r="BZ41" s="66">
        <f t="shared" si="125"/>
        <v>0</v>
      </c>
      <c r="CA41" s="66"/>
      <c r="CB41" s="66">
        <f t="shared" si="126"/>
        <v>0</v>
      </c>
      <c r="CC41" s="22">
        <f t="shared" si="92"/>
        <v>0.34857599989071691</v>
      </c>
      <c r="CD41" s="66">
        <f t="shared" si="127"/>
        <v>163106531</v>
      </c>
      <c r="CE41" s="66"/>
      <c r="CF41" s="66"/>
      <c r="CG41" s="66"/>
      <c r="CH41" s="66"/>
      <c r="CI41" s="66"/>
      <c r="CJ41" s="66"/>
      <c r="CK41" s="66"/>
      <c r="CL41" s="66">
        <f>+'[1]OCTUBRE 2019'!$H$1654+'[1]OCTUBRE 2019'!$H$1656+'[1]OCTUBRE 2019'!$H$1660+'[1]OCTUBRE 2019'!$H$1662+'[1]OCTUBRE 2019'!$H$1664+'[1]OCTUBRE 2019'!$H$1668+'[1]OCTUBRE 2019'!$H$1684+'[1]OCTUBRE 2019'!$H$1687</f>
        <v>163106531</v>
      </c>
      <c r="CM41" s="66"/>
      <c r="CN41" s="66"/>
      <c r="CO41" s="66"/>
      <c r="CP41" s="66"/>
      <c r="CQ41" s="66"/>
      <c r="CR41" s="66"/>
      <c r="CS41" s="66"/>
      <c r="CT41" s="66"/>
      <c r="CU41" s="66"/>
      <c r="CV41" s="66"/>
      <c r="CW41" s="66"/>
      <c r="CX41" s="66"/>
      <c r="CY41" s="66"/>
      <c r="CZ41" s="66"/>
      <c r="DA41" s="66"/>
      <c r="DB41" s="22">
        <f t="shared" si="93"/>
        <v>0.65142400010928303</v>
      </c>
      <c r="DC41" s="66">
        <f t="shared" si="128"/>
        <v>304815905</v>
      </c>
      <c r="DD41" s="66">
        <f t="shared" si="129"/>
        <v>0</v>
      </c>
      <c r="DE41" s="66">
        <f t="shared" si="130"/>
        <v>0</v>
      </c>
      <c r="DF41" s="66">
        <f t="shared" si="131"/>
        <v>0</v>
      </c>
      <c r="DG41" s="66">
        <f t="shared" si="132"/>
        <v>0</v>
      </c>
      <c r="DH41" s="66">
        <f t="shared" si="133"/>
        <v>0</v>
      </c>
      <c r="DI41" s="66">
        <f t="shared" si="134"/>
        <v>0</v>
      </c>
      <c r="DJ41" s="66">
        <f t="shared" si="135"/>
        <v>0</v>
      </c>
      <c r="DK41" s="66">
        <f t="shared" si="136"/>
        <v>214617209</v>
      </c>
      <c r="DL41" s="66">
        <f t="shared" si="137"/>
        <v>0</v>
      </c>
      <c r="DM41" s="66">
        <f t="shared" si="138"/>
        <v>0</v>
      </c>
      <c r="DN41" s="66">
        <f t="shared" si="139"/>
        <v>0</v>
      </c>
      <c r="DO41" s="66">
        <f t="shared" si="140"/>
        <v>25617559</v>
      </c>
      <c r="DP41" s="66">
        <f t="shared" si="141"/>
        <v>0</v>
      </c>
      <c r="DQ41" s="66">
        <f t="shared" si="142"/>
        <v>0</v>
      </c>
      <c r="DR41" s="66">
        <f t="shared" si="143"/>
        <v>0</v>
      </c>
      <c r="DS41" s="66">
        <f t="shared" si="144"/>
        <v>0</v>
      </c>
      <c r="DT41" s="66">
        <f t="shared" si="145"/>
        <v>0</v>
      </c>
      <c r="DU41" s="66">
        <f t="shared" si="146"/>
        <v>0</v>
      </c>
      <c r="DV41" s="66">
        <f t="shared" si="147"/>
        <v>64581137</v>
      </c>
      <c r="DW41" s="66">
        <f t="shared" si="148"/>
        <v>0</v>
      </c>
      <c r="DX41" s="66">
        <f t="shared" si="149"/>
        <v>0</v>
      </c>
      <c r="DY41" s="66"/>
      <c r="DZ41" s="66">
        <f t="shared" si="150"/>
        <v>0</v>
      </c>
      <c r="EB41" s="9">
        <f t="shared" si="94"/>
        <v>467922436</v>
      </c>
      <c r="EC41" s="9">
        <f t="shared" si="95"/>
        <v>467922436</v>
      </c>
      <c r="ED41" s="9">
        <f t="shared" si="96"/>
        <v>467922436</v>
      </c>
    </row>
    <row r="42" spans="1:136" ht="26.4" customHeight="1" x14ac:dyDescent="0.3">
      <c r="A42" s="128"/>
      <c r="B42" s="235"/>
      <c r="C42" s="70" t="s">
        <v>276</v>
      </c>
      <c r="D42" s="69" t="s">
        <v>275</v>
      </c>
      <c r="E42" s="108">
        <v>410</v>
      </c>
      <c r="F42" s="127" t="s">
        <v>274</v>
      </c>
      <c r="G42" s="66">
        <f t="shared" si="102"/>
        <v>865162833</v>
      </c>
      <c r="H42" s="66"/>
      <c r="I42" s="66"/>
      <c r="J42" s="66"/>
      <c r="K42" s="66"/>
      <c r="L42" s="66"/>
      <c r="M42" s="66"/>
      <c r="N42" s="66"/>
      <c r="O42" s="66">
        <f>250000000+410489538+200000000-22086033</f>
        <v>838403505</v>
      </c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>
        <f>36759328-10000000</f>
        <v>26759328</v>
      </c>
      <c r="AE42" s="22">
        <f t="shared" si="90"/>
        <v>0.74509618468550187</v>
      </c>
      <c r="AF42" s="66">
        <f t="shared" si="103"/>
        <v>644629526</v>
      </c>
      <c r="AG42" s="66"/>
      <c r="AH42" s="66"/>
      <c r="AI42" s="66"/>
      <c r="AJ42" s="66"/>
      <c r="AK42" s="66"/>
      <c r="AL42" s="66"/>
      <c r="AM42" s="66"/>
      <c r="AN42" s="66">
        <f>+'[1]OCTUBRE 2019'!$Q$1697</f>
        <v>628629526</v>
      </c>
      <c r="AO42" s="66"/>
      <c r="AP42" s="66"/>
      <c r="AQ42" s="66"/>
      <c r="AR42" s="66"/>
      <c r="AS42" s="66"/>
      <c r="AT42" s="66"/>
      <c r="AU42" s="66"/>
      <c r="AV42" s="66"/>
      <c r="AW42" s="66"/>
      <c r="AX42" s="66"/>
      <c r="AY42" s="66"/>
      <c r="AZ42" s="66"/>
      <c r="BA42" s="66"/>
      <c r="BB42" s="66"/>
      <c r="BC42" s="66">
        <f>+'[2]SEPTIEMBRE 2019'!$AG$1524</f>
        <v>16000000</v>
      </c>
      <c r="BD42" s="22">
        <f t="shared" si="91"/>
        <v>0.25490381531449813</v>
      </c>
      <c r="BE42" s="66">
        <f t="shared" si="104"/>
        <v>220533307</v>
      </c>
      <c r="BF42" s="66">
        <f t="shared" si="105"/>
        <v>0</v>
      </c>
      <c r="BG42" s="66">
        <f t="shared" si="106"/>
        <v>0</v>
      </c>
      <c r="BH42" s="66">
        <f t="shared" si="107"/>
        <v>0</v>
      </c>
      <c r="BI42" s="66">
        <f t="shared" si="108"/>
        <v>0</v>
      </c>
      <c r="BJ42" s="66">
        <f t="shared" si="109"/>
        <v>0</v>
      </c>
      <c r="BK42" s="66">
        <f t="shared" si="110"/>
        <v>0</v>
      </c>
      <c r="BL42" s="66">
        <f t="shared" si="111"/>
        <v>0</v>
      </c>
      <c r="BM42" s="66">
        <f t="shared" si="112"/>
        <v>209773979</v>
      </c>
      <c r="BN42" s="66">
        <f t="shared" si="113"/>
        <v>0</v>
      </c>
      <c r="BO42" s="66">
        <f t="shared" si="114"/>
        <v>0</v>
      </c>
      <c r="BP42" s="66">
        <f t="shared" si="115"/>
        <v>0</v>
      </c>
      <c r="BQ42" s="66">
        <f t="shared" si="116"/>
        <v>0</v>
      </c>
      <c r="BR42" s="66">
        <f t="shared" si="117"/>
        <v>0</v>
      </c>
      <c r="BS42" s="66">
        <f t="shared" si="118"/>
        <v>0</v>
      </c>
      <c r="BT42" s="66">
        <f t="shared" si="119"/>
        <v>0</v>
      </c>
      <c r="BU42" s="66">
        <f t="shared" si="120"/>
        <v>0</v>
      </c>
      <c r="BV42" s="66">
        <f t="shared" si="121"/>
        <v>0</v>
      </c>
      <c r="BW42" s="66">
        <f t="shared" si="122"/>
        <v>0</v>
      </c>
      <c r="BX42" s="66">
        <f t="shared" si="123"/>
        <v>0</v>
      </c>
      <c r="BY42" s="66">
        <f t="shared" si="124"/>
        <v>0</v>
      </c>
      <c r="BZ42" s="66">
        <f t="shared" si="125"/>
        <v>0</v>
      </c>
      <c r="CA42" s="66"/>
      <c r="CB42" s="66">
        <f t="shared" si="126"/>
        <v>10759328</v>
      </c>
      <c r="CC42" s="22">
        <f t="shared" si="92"/>
        <v>0.66970257493712748</v>
      </c>
      <c r="CD42" s="66">
        <f t="shared" si="127"/>
        <v>579401777</v>
      </c>
      <c r="CE42" s="66"/>
      <c r="CF42" s="66"/>
      <c r="CG42" s="66"/>
      <c r="CH42" s="66"/>
      <c r="CI42" s="66"/>
      <c r="CJ42" s="66"/>
      <c r="CK42" s="66"/>
      <c r="CL42" s="66">
        <f>+'[1]OCTUBRE 2019'!$H$1695-DA42</f>
        <v>570442665</v>
      </c>
      <c r="CM42" s="66"/>
      <c r="CN42" s="66"/>
      <c r="CO42" s="66"/>
      <c r="CP42" s="66"/>
      <c r="CQ42" s="66"/>
      <c r="CR42" s="66"/>
      <c r="CS42" s="66"/>
      <c r="CT42" s="66"/>
      <c r="CU42" s="66"/>
      <c r="CV42" s="66"/>
      <c r="CW42" s="66"/>
      <c r="CX42" s="66"/>
      <c r="CY42" s="66"/>
      <c r="CZ42" s="66"/>
      <c r="DA42" s="66">
        <f>+'[1]OCTUBRE 2019'!$H$1740+'[1]OCTUBRE 2019'!$H$1742</f>
        <v>8959112</v>
      </c>
      <c r="DB42" s="22">
        <f t="shared" si="93"/>
        <v>0.33029742506287252</v>
      </c>
      <c r="DC42" s="66">
        <f t="shared" si="128"/>
        <v>285761056</v>
      </c>
      <c r="DD42" s="66">
        <f t="shared" si="129"/>
        <v>0</v>
      </c>
      <c r="DE42" s="66">
        <f t="shared" si="130"/>
        <v>0</v>
      </c>
      <c r="DF42" s="66">
        <f t="shared" si="131"/>
        <v>0</v>
      </c>
      <c r="DG42" s="66">
        <f t="shared" si="132"/>
        <v>0</v>
      </c>
      <c r="DH42" s="66">
        <f t="shared" si="133"/>
        <v>0</v>
      </c>
      <c r="DI42" s="66">
        <f t="shared" si="134"/>
        <v>0</v>
      </c>
      <c r="DJ42" s="66">
        <f t="shared" si="135"/>
        <v>0</v>
      </c>
      <c r="DK42" s="66">
        <f t="shared" si="136"/>
        <v>267960840</v>
      </c>
      <c r="DL42" s="66">
        <f t="shared" si="137"/>
        <v>0</v>
      </c>
      <c r="DM42" s="66">
        <f t="shared" si="138"/>
        <v>0</v>
      </c>
      <c r="DN42" s="66">
        <f t="shared" si="139"/>
        <v>0</v>
      </c>
      <c r="DO42" s="66">
        <f t="shared" si="140"/>
        <v>0</v>
      </c>
      <c r="DP42" s="66">
        <f t="shared" si="141"/>
        <v>0</v>
      </c>
      <c r="DQ42" s="66">
        <f t="shared" si="142"/>
        <v>0</v>
      </c>
      <c r="DR42" s="66">
        <f t="shared" si="143"/>
        <v>0</v>
      </c>
      <c r="DS42" s="66">
        <f t="shared" si="144"/>
        <v>0</v>
      </c>
      <c r="DT42" s="66">
        <f t="shared" si="145"/>
        <v>0</v>
      </c>
      <c r="DU42" s="66">
        <f t="shared" si="146"/>
        <v>0</v>
      </c>
      <c r="DV42" s="66">
        <f t="shared" si="147"/>
        <v>0</v>
      </c>
      <c r="DW42" s="66">
        <f t="shared" si="148"/>
        <v>0</v>
      </c>
      <c r="DX42" s="66">
        <f t="shared" si="149"/>
        <v>0</v>
      </c>
      <c r="DY42" s="66"/>
      <c r="DZ42" s="66">
        <f t="shared" si="150"/>
        <v>17800216</v>
      </c>
      <c r="EB42" s="9">
        <f t="shared" si="94"/>
        <v>865162833</v>
      </c>
      <c r="EC42" s="9">
        <f t="shared" si="95"/>
        <v>865162833</v>
      </c>
      <c r="ED42" s="9">
        <f t="shared" si="96"/>
        <v>865162833</v>
      </c>
      <c r="EF42" s="9"/>
    </row>
    <row r="43" spans="1:136" ht="43.2" customHeight="1" x14ac:dyDescent="0.3">
      <c r="A43" s="128"/>
      <c r="B43" s="235"/>
      <c r="C43" s="121" t="s">
        <v>273</v>
      </c>
      <c r="D43" s="69" t="s">
        <v>272</v>
      </c>
      <c r="E43" s="87">
        <v>410</v>
      </c>
      <c r="F43" s="67" t="s">
        <v>127</v>
      </c>
      <c r="G43" s="66">
        <f t="shared" si="102"/>
        <v>120369599</v>
      </c>
      <c r="H43" s="66"/>
      <c r="I43" s="66"/>
      <c r="J43" s="66"/>
      <c r="K43" s="66"/>
      <c r="L43" s="66"/>
      <c r="M43" s="66"/>
      <c r="N43" s="66"/>
      <c r="O43" s="66">
        <v>70000000</v>
      </c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>
        <f>35369599+15000000</f>
        <v>50369599</v>
      </c>
      <c r="AA43" s="66"/>
      <c r="AB43" s="66"/>
      <c r="AC43" s="66"/>
      <c r="AD43" s="66"/>
      <c r="AE43" s="22">
        <f t="shared" si="90"/>
        <v>0.85699712267048422</v>
      </c>
      <c r="AF43" s="66">
        <f t="shared" si="103"/>
        <v>103156400</v>
      </c>
      <c r="AG43" s="66"/>
      <c r="AH43" s="66"/>
      <c r="AI43" s="66"/>
      <c r="AJ43" s="66"/>
      <c r="AK43" s="66"/>
      <c r="AL43" s="66"/>
      <c r="AM43" s="66"/>
      <c r="AN43" s="66">
        <f>+'[1]OCTUBRE 2019'!$Q$1751</f>
        <v>68955726</v>
      </c>
      <c r="AO43" s="66"/>
      <c r="AP43" s="66"/>
      <c r="AQ43" s="66"/>
      <c r="AR43" s="66"/>
      <c r="AS43" s="66"/>
      <c r="AT43" s="66"/>
      <c r="AU43" s="66"/>
      <c r="AV43" s="66"/>
      <c r="AW43" s="66"/>
      <c r="AX43" s="66"/>
      <c r="AY43" s="66">
        <f>+'[1]OCTUBRE 2019'!$AB$1751</f>
        <v>34200674</v>
      </c>
      <c r="AZ43" s="66"/>
      <c r="BA43" s="66"/>
      <c r="BB43" s="66"/>
      <c r="BC43" s="66"/>
      <c r="BD43" s="22">
        <f t="shared" si="91"/>
        <v>0.14300287732951578</v>
      </c>
      <c r="BE43" s="66">
        <f t="shared" si="104"/>
        <v>17213199</v>
      </c>
      <c r="BF43" s="66">
        <f t="shared" si="105"/>
        <v>0</v>
      </c>
      <c r="BG43" s="66">
        <f t="shared" si="106"/>
        <v>0</v>
      </c>
      <c r="BH43" s="66">
        <f t="shared" si="107"/>
        <v>0</v>
      </c>
      <c r="BI43" s="66">
        <f t="shared" si="108"/>
        <v>0</v>
      </c>
      <c r="BJ43" s="66">
        <f t="shared" si="109"/>
        <v>0</v>
      </c>
      <c r="BK43" s="66">
        <f t="shared" si="110"/>
        <v>0</v>
      </c>
      <c r="BL43" s="66">
        <f t="shared" si="111"/>
        <v>0</v>
      </c>
      <c r="BM43" s="66">
        <f t="shared" si="112"/>
        <v>1044274</v>
      </c>
      <c r="BN43" s="66">
        <f t="shared" si="113"/>
        <v>0</v>
      </c>
      <c r="BO43" s="66">
        <f t="shared" si="114"/>
        <v>0</v>
      </c>
      <c r="BP43" s="66">
        <f t="shared" si="115"/>
        <v>0</v>
      </c>
      <c r="BQ43" s="66">
        <f t="shared" si="116"/>
        <v>0</v>
      </c>
      <c r="BR43" s="66">
        <f t="shared" si="117"/>
        <v>0</v>
      </c>
      <c r="BS43" s="66">
        <f t="shared" si="118"/>
        <v>0</v>
      </c>
      <c r="BT43" s="66">
        <f t="shared" si="119"/>
        <v>0</v>
      </c>
      <c r="BU43" s="66">
        <f t="shared" si="120"/>
        <v>0</v>
      </c>
      <c r="BV43" s="66">
        <f t="shared" si="121"/>
        <v>0</v>
      </c>
      <c r="BW43" s="66">
        <f t="shared" si="122"/>
        <v>0</v>
      </c>
      <c r="BX43" s="66">
        <f t="shared" si="123"/>
        <v>16168925</v>
      </c>
      <c r="BY43" s="66">
        <f t="shared" si="124"/>
        <v>0</v>
      </c>
      <c r="BZ43" s="66">
        <f t="shared" si="125"/>
        <v>0</v>
      </c>
      <c r="CA43" s="66"/>
      <c r="CB43" s="66">
        <f t="shared" si="126"/>
        <v>0</v>
      </c>
      <c r="CC43" s="22">
        <f t="shared" si="92"/>
        <v>0.84038163157792023</v>
      </c>
      <c r="CD43" s="66">
        <f t="shared" si="127"/>
        <v>101156400</v>
      </c>
      <c r="CE43" s="66"/>
      <c r="CF43" s="66"/>
      <c r="CG43" s="66"/>
      <c r="CH43" s="66"/>
      <c r="CI43" s="66"/>
      <c r="CJ43" s="66"/>
      <c r="CK43" s="66"/>
      <c r="CL43" s="66">
        <f>+'[1]OCTUBRE 2019'!$H$1749-CW43</f>
        <v>68955726</v>
      </c>
      <c r="CM43" s="66"/>
      <c r="CN43" s="66"/>
      <c r="CO43" s="66"/>
      <c r="CP43" s="66"/>
      <c r="CQ43" s="66"/>
      <c r="CR43" s="66"/>
      <c r="CS43" s="66"/>
      <c r="CT43" s="66"/>
      <c r="CU43" s="66"/>
      <c r="CV43" s="66"/>
      <c r="CW43" s="66">
        <f>+'[1]OCTUBRE 2019'!$H$1789+'[1]OCTUBRE 2019'!$H$1790+'[1]OCTUBRE 2019'!$H$1791+'[1]OCTUBRE 2019'!$H$1792+'[1]OCTUBRE 2019'!$H$1793+'[1]OCTUBRE 2019'!$H$1796+'[1]OCTUBRE 2019'!$H$1799+'[1]OCTUBRE 2019'!$H$1804+'[1]OCTUBRE 2019'!$H$1805+'[1]OCTUBRE 2019'!$H$1806+'[1]OCTUBRE 2019'!$H$1807+'[1]OCTUBRE 2019'!$H$1808+'[1]OCTUBRE 2019'!$H$1809</f>
        <v>32200674</v>
      </c>
      <c r="CX43" s="66"/>
      <c r="CY43" s="66"/>
      <c r="CZ43" s="66"/>
      <c r="DA43" s="66"/>
      <c r="DB43" s="22">
        <f t="shared" si="93"/>
        <v>0.15961836842207977</v>
      </c>
      <c r="DC43" s="66">
        <f t="shared" si="128"/>
        <v>19213199</v>
      </c>
      <c r="DD43" s="66">
        <f t="shared" si="129"/>
        <v>0</v>
      </c>
      <c r="DE43" s="66">
        <f t="shared" si="130"/>
        <v>0</v>
      </c>
      <c r="DF43" s="66">
        <f t="shared" si="131"/>
        <v>0</v>
      </c>
      <c r="DG43" s="66">
        <f t="shared" si="132"/>
        <v>0</v>
      </c>
      <c r="DH43" s="66">
        <f t="shared" si="133"/>
        <v>0</v>
      </c>
      <c r="DI43" s="66">
        <f t="shared" si="134"/>
        <v>0</v>
      </c>
      <c r="DJ43" s="66">
        <f t="shared" si="135"/>
        <v>0</v>
      </c>
      <c r="DK43" s="66">
        <f t="shared" si="136"/>
        <v>1044274</v>
      </c>
      <c r="DL43" s="66">
        <f t="shared" si="137"/>
        <v>0</v>
      </c>
      <c r="DM43" s="66">
        <f t="shared" si="138"/>
        <v>0</v>
      </c>
      <c r="DN43" s="66">
        <f t="shared" si="139"/>
        <v>0</v>
      </c>
      <c r="DO43" s="66">
        <f t="shared" si="140"/>
        <v>0</v>
      </c>
      <c r="DP43" s="66">
        <f t="shared" si="141"/>
        <v>0</v>
      </c>
      <c r="DQ43" s="66">
        <f t="shared" si="142"/>
        <v>0</v>
      </c>
      <c r="DR43" s="66">
        <f t="shared" si="143"/>
        <v>0</v>
      </c>
      <c r="DS43" s="66">
        <f t="shared" si="144"/>
        <v>0</v>
      </c>
      <c r="DT43" s="66">
        <f t="shared" si="145"/>
        <v>0</v>
      </c>
      <c r="DU43" s="66">
        <f t="shared" si="146"/>
        <v>0</v>
      </c>
      <c r="DV43" s="66">
        <f t="shared" si="147"/>
        <v>18168925</v>
      </c>
      <c r="DW43" s="66">
        <f t="shared" si="148"/>
        <v>0</v>
      </c>
      <c r="DX43" s="66">
        <f t="shared" si="149"/>
        <v>0</v>
      </c>
      <c r="DY43" s="66"/>
      <c r="DZ43" s="66">
        <f t="shared" si="150"/>
        <v>0</v>
      </c>
      <c r="EB43" s="9">
        <f t="shared" si="94"/>
        <v>120369599</v>
      </c>
      <c r="EC43" s="9">
        <f t="shared" si="95"/>
        <v>120369599</v>
      </c>
      <c r="ED43" s="9">
        <f t="shared" si="96"/>
        <v>120369599</v>
      </c>
    </row>
    <row r="44" spans="1:136" ht="30.75" customHeight="1" x14ac:dyDescent="0.3">
      <c r="A44" s="128"/>
      <c r="B44" s="237" t="s">
        <v>271</v>
      </c>
      <c r="C44" s="101" t="s">
        <v>270</v>
      </c>
      <c r="D44" s="69" t="s">
        <v>269</v>
      </c>
      <c r="E44" s="87">
        <v>410</v>
      </c>
      <c r="F44" s="67" t="s">
        <v>268</v>
      </c>
      <c r="G44" s="66">
        <f t="shared" si="102"/>
        <v>83000000</v>
      </c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>
        <v>5000000</v>
      </c>
      <c r="U44" s="66">
        <v>10000000</v>
      </c>
      <c r="V44" s="66">
        <f>5000000+15000000</f>
        <v>20000000</v>
      </c>
      <c r="W44" s="66"/>
      <c r="X44" s="66"/>
      <c r="Y44" s="66"/>
      <c r="Z44" s="66">
        <v>20000000</v>
      </c>
      <c r="AA44" s="66"/>
      <c r="AB44" s="66"/>
      <c r="AC44" s="66"/>
      <c r="AD44" s="66">
        <f>20000000+18000000-10000000</f>
        <v>28000000</v>
      </c>
      <c r="AE44" s="22">
        <f t="shared" si="90"/>
        <v>0.47637780722891565</v>
      </c>
      <c r="AF44" s="66">
        <f t="shared" si="103"/>
        <v>39539358</v>
      </c>
      <c r="AG44" s="66"/>
      <c r="AH44" s="66"/>
      <c r="AI44" s="66"/>
      <c r="AJ44" s="66"/>
      <c r="AK44" s="66"/>
      <c r="AL44" s="66"/>
      <c r="AM44" s="66"/>
      <c r="AN44" s="66"/>
      <c r="AO44" s="66"/>
      <c r="AP44" s="66"/>
      <c r="AQ44" s="66"/>
      <c r="AR44" s="66"/>
      <c r="AS44" s="66">
        <f>+'[1]OCTUBRE 2019'!$V$1846</f>
        <v>1614681</v>
      </c>
      <c r="AT44" s="66">
        <f>+'[1]OCTUBRE 2019'!$W$1846</f>
        <v>2065739</v>
      </c>
      <c r="AU44" s="66">
        <f>+'[1]OCTUBRE 2019'!$X$1846</f>
        <v>2592938</v>
      </c>
      <c r="AV44" s="66"/>
      <c r="AW44" s="66"/>
      <c r="AX44" s="66"/>
      <c r="AY44" s="66">
        <f>+'[1]OCTUBRE 2019'!$AB$1846</f>
        <v>5266000</v>
      </c>
      <c r="AZ44" s="66"/>
      <c r="BA44" s="66"/>
      <c r="BB44" s="66"/>
      <c r="BC44" s="66">
        <f>+'[11]JULIO 2019'!$AF$1214</f>
        <v>28000000</v>
      </c>
      <c r="BD44" s="22">
        <f t="shared" si="91"/>
        <v>0.52362219277108435</v>
      </c>
      <c r="BE44" s="66">
        <f t="shared" si="104"/>
        <v>43460642</v>
      </c>
      <c r="BF44" s="66">
        <f t="shared" si="105"/>
        <v>0</v>
      </c>
      <c r="BG44" s="66">
        <f t="shared" si="106"/>
        <v>0</v>
      </c>
      <c r="BH44" s="66">
        <f t="shared" si="107"/>
        <v>0</v>
      </c>
      <c r="BI44" s="66">
        <f t="shared" si="108"/>
        <v>0</v>
      </c>
      <c r="BJ44" s="66">
        <f t="shared" si="109"/>
        <v>0</v>
      </c>
      <c r="BK44" s="66">
        <f t="shared" si="110"/>
        <v>0</v>
      </c>
      <c r="BL44" s="66">
        <f t="shared" si="111"/>
        <v>0</v>
      </c>
      <c r="BM44" s="66">
        <f t="shared" si="112"/>
        <v>0</v>
      </c>
      <c r="BN44" s="66">
        <f t="shared" si="113"/>
        <v>0</v>
      </c>
      <c r="BO44" s="66">
        <f t="shared" si="114"/>
        <v>0</v>
      </c>
      <c r="BP44" s="66">
        <f t="shared" si="115"/>
        <v>0</v>
      </c>
      <c r="BQ44" s="66">
        <f t="shared" si="116"/>
        <v>0</v>
      </c>
      <c r="BR44" s="66">
        <f t="shared" si="117"/>
        <v>3385319</v>
      </c>
      <c r="BS44" s="66">
        <f t="shared" si="118"/>
        <v>7934261</v>
      </c>
      <c r="BT44" s="66">
        <f t="shared" si="119"/>
        <v>17407062</v>
      </c>
      <c r="BU44" s="66">
        <f t="shared" si="120"/>
        <v>0</v>
      </c>
      <c r="BV44" s="66">
        <f t="shared" si="121"/>
        <v>0</v>
      </c>
      <c r="BW44" s="66">
        <f t="shared" si="122"/>
        <v>0</v>
      </c>
      <c r="BX44" s="66">
        <f t="shared" si="123"/>
        <v>14734000</v>
      </c>
      <c r="BY44" s="66">
        <f t="shared" si="124"/>
        <v>0</v>
      </c>
      <c r="BZ44" s="66">
        <f t="shared" si="125"/>
        <v>0</v>
      </c>
      <c r="CA44" s="66"/>
      <c r="CB44" s="66">
        <f t="shared" si="126"/>
        <v>0</v>
      </c>
      <c r="CC44" s="22">
        <f t="shared" si="92"/>
        <v>0.31828945783132528</v>
      </c>
      <c r="CD44" s="66">
        <f t="shared" si="127"/>
        <v>26418025</v>
      </c>
      <c r="CE44" s="66"/>
      <c r="CF44" s="66"/>
      <c r="CG44" s="66"/>
      <c r="CH44" s="66"/>
      <c r="CI44" s="66"/>
      <c r="CJ44" s="66"/>
      <c r="CK44" s="66"/>
      <c r="CL44" s="66"/>
      <c r="CM44" s="66"/>
      <c r="CN44" s="66"/>
      <c r="CO44" s="66"/>
      <c r="CP44" s="66"/>
      <c r="CQ44" s="66">
        <f>+'[1]OCTUBRE 2019'!$H$1852+'[1]OCTUBRE 2019'!$H$1860+'[1]OCTUBRE 2019'!$H$1875</f>
        <v>1614681</v>
      </c>
      <c r="CR44" s="66">
        <f>+'[1]OCTUBRE 2019'!$W$1854+'[1]OCTUBRE 2019'!$H$1859+'[1]OCTUBRE 2019'!$H$1861+'[1]OCTUBRE 2019'!$H$1876</f>
        <v>2065739</v>
      </c>
      <c r="CS44" s="66">
        <f>+'[1]OCTUBRE 2019'!$H$1856+'[1]OCTUBRE 2019'!$H$1862+'[1]OCTUBRE 2019'!$H$1877+'[1]OCTUBRE 2019'!$H$1878</f>
        <v>2592938</v>
      </c>
      <c r="CT44" s="66"/>
      <c r="CU44" s="66"/>
      <c r="CV44" s="66"/>
      <c r="CW44" s="66">
        <f>+'[1]OCTUBRE 2019'!$H$1867+'[1]OCTUBRE 2019'!$H$1872+'[1]OCTUBRE 2019'!$H$1873</f>
        <v>5266000</v>
      </c>
      <c r="CX44" s="66"/>
      <c r="CY44" s="66"/>
      <c r="CZ44" s="66"/>
      <c r="DA44" s="66">
        <f>+'[1]OCTUBRE 2019'!$H$1847+'[1]OCTUBRE 2019'!$H$1863+'[1]OCTUBRE 2019'!$H$1869</f>
        <v>14878667</v>
      </c>
      <c r="DB44" s="22">
        <f t="shared" si="93"/>
        <v>0.68171054216867466</v>
      </c>
      <c r="DC44" s="66">
        <f t="shared" si="128"/>
        <v>56581975</v>
      </c>
      <c r="DD44" s="66">
        <f t="shared" si="129"/>
        <v>0</v>
      </c>
      <c r="DE44" s="66">
        <f t="shared" si="130"/>
        <v>0</v>
      </c>
      <c r="DF44" s="66">
        <f t="shared" si="131"/>
        <v>0</v>
      </c>
      <c r="DG44" s="66">
        <f t="shared" si="132"/>
        <v>0</v>
      </c>
      <c r="DH44" s="66">
        <f t="shared" si="133"/>
        <v>0</v>
      </c>
      <c r="DI44" s="66">
        <f t="shared" si="134"/>
        <v>0</v>
      </c>
      <c r="DJ44" s="66">
        <f t="shared" si="135"/>
        <v>0</v>
      </c>
      <c r="DK44" s="66">
        <f t="shared" si="136"/>
        <v>0</v>
      </c>
      <c r="DL44" s="66">
        <f t="shared" si="137"/>
        <v>0</v>
      </c>
      <c r="DM44" s="66">
        <f t="shared" si="138"/>
        <v>0</v>
      </c>
      <c r="DN44" s="66">
        <f t="shared" si="139"/>
        <v>0</v>
      </c>
      <c r="DO44" s="66">
        <f t="shared" si="140"/>
        <v>0</v>
      </c>
      <c r="DP44" s="66">
        <f t="shared" si="141"/>
        <v>3385319</v>
      </c>
      <c r="DQ44" s="66">
        <f t="shared" si="142"/>
        <v>7934261</v>
      </c>
      <c r="DR44" s="66">
        <f t="shared" si="143"/>
        <v>17407062</v>
      </c>
      <c r="DS44" s="66">
        <f t="shared" si="144"/>
        <v>0</v>
      </c>
      <c r="DT44" s="66">
        <f t="shared" si="145"/>
        <v>0</v>
      </c>
      <c r="DU44" s="66">
        <f t="shared" si="146"/>
        <v>0</v>
      </c>
      <c r="DV44" s="66">
        <f t="shared" si="147"/>
        <v>14734000</v>
      </c>
      <c r="DW44" s="66">
        <f t="shared" si="148"/>
        <v>0</v>
      </c>
      <c r="DX44" s="66">
        <f t="shared" si="149"/>
        <v>0</v>
      </c>
      <c r="DY44" s="66"/>
      <c r="DZ44" s="66">
        <f t="shared" si="150"/>
        <v>13121333</v>
      </c>
      <c r="EB44" s="9">
        <f t="shared" si="94"/>
        <v>83000000</v>
      </c>
      <c r="EC44" s="9">
        <f t="shared" si="95"/>
        <v>83000000</v>
      </c>
      <c r="ED44" s="9">
        <f t="shared" si="96"/>
        <v>83000000</v>
      </c>
    </row>
    <row r="45" spans="1:136" ht="54.6" customHeight="1" x14ac:dyDescent="0.3">
      <c r="A45" s="128"/>
      <c r="B45" s="237"/>
      <c r="C45" s="121" t="s">
        <v>267</v>
      </c>
      <c r="D45" s="69" t="s">
        <v>266</v>
      </c>
      <c r="E45" s="87">
        <v>410</v>
      </c>
      <c r="F45" s="67" t="s">
        <v>256</v>
      </c>
      <c r="G45" s="66">
        <f t="shared" si="102"/>
        <v>30000000</v>
      </c>
      <c r="H45" s="66"/>
      <c r="I45" s="66"/>
      <c r="J45" s="66"/>
      <c r="K45" s="66"/>
      <c r="L45" s="66"/>
      <c r="M45" s="66"/>
      <c r="N45" s="66"/>
      <c r="O45" s="66">
        <v>10000000</v>
      </c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>
        <v>20000000</v>
      </c>
      <c r="AA45" s="66"/>
      <c r="AB45" s="66"/>
      <c r="AC45" s="66"/>
      <c r="AD45" s="66"/>
      <c r="AE45" s="22">
        <f t="shared" si="90"/>
        <v>0.92900173333333336</v>
      </c>
      <c r="AF45" s="66">
        <f t="shared" si="103"/>
        <v>27870052</v>
      </c>
      <c r="AG45" s="66"/>
      <c r="AH45" s="66"/>
      <c r="AI45" s="66"/>
      <c r="AJ45" s="66"/>
      <c r="AK45" s="66"/>
      <c r="AL45" s="66"/>
      <c r="AM45" s="66"/>
      <c r="AN45" s="66">
        <f>+'[11]JULIO 2019'!$P$1244</f>
        <v>8000000</v>
      </c>
      <c r="AO45" s="66"/>
      <c r="AP45" s="66"/>
      <c r="AQ45" s="66"/>
      <c r="AR45" s="66"/>
      <c r="AS45" s="66"/>
      <c r="AT45" s="66"/>
      <c r="AU45" s="66"/>
      <c r="AV45" s="66"/>
      <c r="AW45" s="66"/>
      <c r="AX45" s="66"/>
      <c r="AY45" s="66">
        <f>+'[2]SEPTIEMBRE 2019'!$AB$1683</f>
        <v>19870052</v>
      </c>
      <c r="AZ45" s="66"/>
      <c r="BA45" s="66"/>
      <c r="BB45" s="66"/>
      <c r="BC45" s="66"/>
      <c r="BD45" s="22">
        <f t="shared" si="91"/>
        <v>7.0998266666666643E-2</v>
      </c>
      <c r="BE45" s="66">
        <f t="shared" si="104"/>
        <v>2129948</v>
      </c>
      <c r="BF45" s="66">
        <f t="shared" si="105"/>
        <v>0</v>
      </c>
      <c r="BG45" s="66">
        <f t="shared" si="106"/>
        <v>0</v>
      </c>
      <c r="BH45" s="66">
        <f t="shared" si="107"/>
        <v>0</v>
      </c>
      <c r="BI45" s="66">
        <f t="shared" si="108"/>
        <v>0</v>
      </c>
      <c r="BJ45" s="66">
        <f t="shared" si="109"/>
        <v>0</v>
      </c>
      <c r="BK45" s="66">
        <f t="shared" si="110"/>
        <v>0</v>
      </c>
      <c r="BL45" s="66">
        <f t="shared" si="111"/>
        <v>0</v>
      </c>
      <c r="BM45" s="66">
        <f t="shared" si="112"/>
        <v>2000000</v>
      </c>
      <c r="BN45" s="66">
        <f t="shared" si="113"/>
        <v>0</v>
      </c>
      <c r="BO45" s="66">
        <f t="shared" si="114"/>
        <v>0</v>
      </c>
      <c r="BP45" s="66">
        <f t="shared" si="115"/>
        <v>0</v>
      </c>
      <c r="BQ45" s="66">
        <f t="shared" si="116"/>
        <v>0</v>
      </c>
      <c r="BR45" s="66">
        <f t="shared" si="117"/>
        <v>0</v>
      </c>
      <c r="BS45" s="66">
        <f t="shared" si="118"/>
        <v>0</v>
      </c>
      <c r="BT45" s="66">
        <f t="shared" si="119"/>
        <v>0</v>
      </c>
      <c r="BU45" s="66">
        <f t="shared" si="120"/>
        <v>0</v>
      </c>
      <c r="BV45" s="66">
        <f t="shared" si="121"/>
        <v>0</v>
      </c>
      <c r="BW45" s="66">
        <f t="shared" si="122"/>
        <v>0</v>
      </c>
      <c r="BX45" s="66">
        <f t="shared" si="123"/>
        <v>129948</v>
      </c>
      <c r="BY45" s="66">
        <f t="shared" si="124"/>
        <v>0</v>
      </c>
      <c r="BZ45" s="66">
        <f t="shared" si="125"/>
        <v>0</v>
      </c>
      <c r="CA45" s="66"/>
      <c r="CB45" s="66">
        <f t="shared" si="126"/>
        <v>0</v>
      </c>
      <c r="CC45" s="22">
        <f t="shared" si="92"/>
        <v>0.9269797666666667</v>
      </c>
      <c r="CD45" s="66">
        <f t="shared" si="127"/>
        <v>27809393</v>
      </c>
      <c r="CE45" s="66"/>
      <c r="CF45" s="66"/>
      <c r="CG45" s="66"/>
      <c r="CH45" s="66"/>
      <c r="CI45" s="66"/>
      <c r="CJ45" s="66"/>
      <c r="CK45" s="66"/>
      <c r="CL45" s="66">
        <f>+'[11]JULIO 2019'!$H$1256</f>
        <v>7943538</v>
      </c>
      <c r="CM45" s="66"/>
      <c r="CN45" s="66"/>
      <c r="CO45" s="66"/>
      <c r="CP45" s="66"/>
      <c r="CQ45" s="66"/>
      <c r="CR45" s="66"/>
      <c r="CS45" s="66"/>
      <c r="CT45" s="66"/>
      <c r="CU45" s="66"/>
      <c r="CV45" s="66"/>
      <c r="CW45" s="66">
        <f>+'[2]SEPTIEMBRE 2019'!$H$1681-CL45</f>
        <v>19865855</v>
      </c>
      <c r="CX45" s="66"/>
      <c r="CY45" s="66"/>
      <c r="CZ45" s="66"/>
      <c r="DA45" s="66"/>
      <c r="DB45" s="22">
        <f t="shared" si="93"/>
        <v>7.3020233333333295E-2</v>
      </c>
      <c r="DC45" s="66">
        <f t="shared" si="128"/>
        <v>2190607</v>
      </c>
      <c r="DD45" s="66">
        <f t="shared" si="129"/>
        <v>0</v>
      </c>
      <c r="DE45" s="66">
        <f t="shared" si="130"/>
        <v>0</v>
      </c>
      <c r="DF45" s="66">
        <f t="shared" si="131"/>
        <v>0</v>
      </c>
      <c r="DG45" s="66">
        <f t="shared" si="132"/>
        <v>0</v>
      </c>
      <c r="DH45" s="66">
        <f t="shared" si="133"/>
        <v>0</v>
      </c>
      <c r="DI45" s="66">
        <f t="shared" si="134"/>
        <v>0</v>
      </c>
      <c r="DJ45" s="66">
        <f t="shared" si="135"/>
        <v>0</v>
      </c>
      <c r="DK45" s="66">
        <f t="shared" si="136"/>
        <v>2056462</v>
      </c>
      <c r="DL45" s="66">
        <f t="shared" si="137"/>
        <v>0</v>
      </c>
      <c r="DM45" s="66">
        <f t="shared" si="138"/>
        <v>0</v>
      </c>
      <c r="DN45" s="66">
        <f t="shared" si="139"/>
        <v>0</v>
      </c>
      <c r="DO45" s="66">
        <f t="shared" si="140"/>
        <v>0</v>
      </c>
      <c r="DP45" s="66">
        <f t="shared" si="141"/>
        <v>0</v>
      </c>
      <c r="DQ45" s="66">
        <f t="shared" si="142"/>
        <v>0</v>
      </c>
      <c r="DR45" s="66">
        <f t="shared" si="143"/>
        <v>0</v>
      </c>
      <c r="DS45" s="66">
        <f t="shared" si="144"/>
        <v>0</v>
      </c>
      <c r="DT45" s="66">
        <f t="shared" si="145"/>
        <v>0</v>
      </c>
      <c r="DU45" s="66">
        <f t="shared" si="146"/>
        <v>0</v>
      </c>
      <c r="DV45" s="66">
        <f t="shared" si="147"/>
        <v>134145</v>
      </c>
      <c r="DW45" s="66">
        <f t="shared" si="148"/>
        <v>0</v>
      </c>
      <c r="DX45" s="66">
        <f t="shared" si="149"/>
        <v>0</v>
      </c>
      <c r="DY45" s="66"/>
      <c r="DZ45" s="66">
        <f t="shared" si="150"/>
        <v>0</v>
      </c>
      <c r="EB45" s="9">
        <f t="shared" si="94"/>
        <v>30000000</v>
      </c>
      <c r="EC45" s="9">
        <f t="shared" si="95"/>
        <v>30000000</v>
      </c>
      <c r="ED45" s="9">
        <f t="shared" si="96"/>
        <v>30000000</v>
      </c>
    </row>
    <row r="46" spans="1:136" ht="46.8" customHeight="1" x14ac:dyDescent="0.3">
      <c r="A46" s="128"/>
      <c r="B46" s="237"/>
      <c r="C46" s="121" t="s">
        <v>265</v>
      </c>
      <c r="D46" s="69" t="s">
        <v>264</v>
      </c>
      <c r="E46" s="87">
        <v>410</v>
      </c>
      <c r="F46" s="67" t="s">
        <v>263</v>
      </c>
      <c r="G46" s="66">
        <f t="shared" si="102"/>
        <v>175597081</v>
      </c>
      <c r="H46" s="66"/>
      <c r="I46" s="66"/>
      <c r="J46" s="66"/>
      <c r="K46" s="66"/>
      <c r="L46" s="66"/>
      <c r="M46" s="66"/>
      <c r="N46" s="66"/>
      <c r="O46" s="66">
        <f>60000000-10000000</f>
        <v>50000000</v>
      </c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>
        <f>70000000+20000000+15000000+15597081+5000000</f>
        <v>125597081</v>
      </c>
      <c r="AE46" s="22">
        <f t="shared" si="90"/>
        <v>0.67934837140031956</v>
      </c>
      <c r="AF46" s="66">
        <f t="shared" si="103"/>
        <v>119291591</v>
      </c>
      <c r="AG46" s="66"/>
      <c r="AH46" s="66"/>
      <c r="AI46" s="66"/>
      <c r="AJ46" s="66"/>
      <c r="AK46" s="66"/>
      <c r="AL46" s="66"/>
      <c r="AM46" s="66"/>
      <c r="AN46" s="66">
        <f>+'[1]OCTUBRE 2019'!$Q$1906</f>
        <v>49002673</v>
      </c>
      <c r="AO46" s="66"/>
      <c r="AP46" s="66"/>
      <c r="AQ46" s="66"/>
      <c r="AR46" s="66"/>
      <c r="AS46" s="66"/>
      <c r="AT46" s="66"/>
      <c r="AU46" s="66"/>
      <c r="AV46" s="66"/>
      <c r="AW46" s="66"/>
      <c r="AX46" s="66"/>
      <c r="AY46" s="66"/>
      <c r="AZ46" s="66"/>
      <c r="BA46" s="66"/>
      <c r="BB46" s="66"/>
      <c r="BC46" s="66">
        <f>+'[1]OCTUBRE 2019'!$AG$1906</f>
        <v>70288918</v>
      </c>
      <c r="BD46" s="22">
        <f t="shared" si="91"/>
        <v>0.32065162859968044</v>
      </c>
      <c r="BE46" s="66">
        <f t="shared" si="104"/>
        <v>56305490</v>
      </c>
      <c r="BF46" s="66">
        <f t="shared" si="105"/>
        <v>0</v>
      </c>
      <c r="BG46" s="66">
        <f t="shared" si="106"/>
        <v>0</v>
      </c>
      <c r="BH46" s="66">
        <f t="shared" si="107"/>
        <v>0</v>
      </c>
      <c r="BI46" s="66">
        <f t="shared" si="108"/>
        <v>0</v>
      </c>
      <c r="BJ46" s="66">
        <f t="shared" si="109"/>
        <v>0</v>
      </c>
      <c r="BK46" s="66">
        <f t="shared" si="110"/>
        <v>0</v>
      </c>
      <c r="BL46" s="66">
        <f t="shared" si="111"/>
        <v>0</v>
      </c>
      <c r="BM46" s="66">
        <f t="shared" si="112"/>
        <v>997327</v>
      </c>
      <c r="BN46" s="66">
        <f t="shared" si="113"/>
        <v>0</v>
      </c>
      <c r="BO46" s="66">
        <f t="shared" si="114"/>
        <v>0</v>
      </c>
      <c r="BP46" s="66">
        <f t="shared" si="115"/>
        <v>0</v>
      </c>
      <c r="BQ46" s="66">
        <f t="shared" si="116"/>
        <v>0</v>
      </c>
      <c r="BR46" s="66">
        <f t="shared" si="117"/>
        <v>0</v>
      </c>
      <c r="BS46" s="66">
        <f t="shared" si="118"/>
        <v>0</v>
      </c>
      <c r="BT46" s="66">
        <f t="shared" si="119"/>
        <v>0</v>
      </c>
      <c r="BU46" s="66">
        <f t="shared" si="120"/>
        <v>0</v>
      </c>
      <c r="BV46" s="66">
        <f t="shared" si="121"/>
        <v>0</v>
      </c>
      <c r="BW46" s="66">
        <f t="shared" si="122"/>
        <v>0</v>
      </c>
      <c r="BX46" s="66">
        <f t="shared" si="123"/>
        <v>0</v>
      </c>
      <c r="BY46" s="66">
        <f t="shared" si="124"/>
        <v>0</v>
      </c>
      <c r="BZ46" s="66">
        <f t="shared" si="125"/>
        <v>0</v>
      </c>
      <c r="CA46" s="66"/>
      <c r="CB46" s="66">
        <f t="shared" si="126"/>
        <v>55308163</v>
      </c>
      <c r="CC46" s="22">
        <f t="shared" si="92"/>
        <v>0.59887956224055916</v>
      </c>
      <c r="CD46" s="66">
        <f t="shared" si="127"/>
        <v>105161503</v>
      </c>
      <c r="CE46" s="66"/>
      <c r="CF46" s="66"/>
      <c r="CG46" s="66"/>
      <c r="CH46" s="66"/>
      <c r="CI46" s="66"/>
      <c r="CJ46" s="66"/>
      <c r="CK46" s="66"/>
      <c r="CL46" s="66">
        <f>+'[1]OCTUBRE 2019'!$H$1916+'[1]OCTUBRE 2019'!$H$1917+'[1]OCTUBRE 2019'!$H$1918+'[1]OCTUBRE 2019'!$H$1929+'[1]OCTUBRE 2019'!$H$1930+'[1]OCTUBRE 2019'!$H$1935+'[1]OCTUBRE 2019'!$H$1941+'[1]OCTUBRE 2019'!$H$1943+'[1]OCTUBRE 2019'!$H$1944+'[1]OCTUBRE 2019'!$H$1947+'[1]OCTUBRE 2019'!$H$1949+'[1]OCTUBRE 2019'!$H$1950+'[1]OCTUBRE 2019'!$H$1951+'[1]OCTUBRE 2019'!$H$1952+'[1]OCTUBRE 2019'!$H$1955+'[1]OCTUBRE 2019'!$H$1956+'[1]OCTUBRE 2019'!$H$1961+'[1]OCTUBRE 2019'!$H$1962+'[1]OCTUBRE 2019'!$H$1963+'[1]OCTUBRE 2019'!$H$1964+'[1]OCTUBRE 2019'!$H$1965+'[1]OCTUBRE 2019'!$H$1966+'[1]OCTUBRE 2019'!$H$1967</f>
        <v>49002673</v>
      </c>
      <c r="CM46" s="66"/>
      <c r="CN46" s="66"/>
      <c r="CO46" s="66"/>
      <c r="CP46" s="66"/>
      <c r="CQ46" s="66"/>
      <c r="CR46" s="66"/>
      <c r="CS46" s="66"/>
      <c r="CT46" s="66"/>
      <c r="CU46" s="66"/>
      <c r="CV46" s="66"/>
      <c r="CW46" s="66"/>
      <c r="CX46" s="66"/>
      <c r="CY46" s="66"/>
      <c r="CZ46" s="66"/>
      <c r="DA46" s="66">
        <f>+'[1]OCTUBRE 2019'!$H$1904-CL46</f>
        <v>56158830</v>
      </c>
      <c r="DB46" s="22">
        <f t="shared" si="93"/>
        <v>0.40112043775944084</v>
      </c>
      <c r="DC46" s="66">
        <f t="shared" si="128"/>
        <v>70435578</v>
      </c>
      <c r="DD46" s="66">
        <f t="shared" si="129"/>
        <v>0</v>
      </c>
      <c r="DE46" s="66">
        <f t="shared" si="130"/>
        <v>0</v>
      </c>
      <c r="DF46" s="66">
        <f t="shared" si="131"/>
        <v>0</v>
      </c>
      <c r="DG46" s="66">
        <f t="shared" si="132"/>
        <v>0</v>
      </c>
      <c r="DH46" s="66">
        <f t="shared" si="133"/>
        <v>0</v>
      </c>
      <c r="DI46" s="66">
        <f t="shared" si="134"/>
        <v>0</v>
      </c>
      <c r="DJ46" s="66">
        <f t="shared" si="135"/>
        <v>0</v>
      </c>
      <c r="DK46" s="66">
        <f t="shared" si="136"/>
        <v>997327</v>
      </c>
      <c r="DL46" s="66">
        <f t="shared" si="137"/>
        <v>0</v>
      </c>
      <c r="DM46" s="66">
        <f t="shared" si="138"/>
        <v>0</v>
      </c>
      <c r="DN46" s="66">
        <f t="shared" si="139"/>
        <v>0</v>
      </c>
      <c r="DO46" s="66">
        <f t="shared" si="140"/>
        <v>0</v>
      </c>
      <c r="DP46" s="66">
        <f t="shared" si="141"/>
        <v>0</v>
      </c>
      <c r="DQ46" s="66">
        <f t="shared" si="142"/>
        <v>0</v>
      </c>
      <c r="DR46" s="66">
        <f t="shared" si="143"/>
        <v>0</v>
      </c>
      <c r="DS46" s="66">
        <f t="shared" si="144"/>
        <v>0</v>
      </c>
      <c r="DT46" s="66">
        <f t="shared" si="145"/>
        <v>0</v>
      </c>
      <c r="DU46" s="66">
        <f t="shared" si="146"/>
        <v>0</v>
      </c>
      <c r="DV46" s="66">
        <f t="shared" si="147"/>
        <v>0</v>
      </c>
      <c r="DW46" s="66">
        <f t="shared" si="148"/>
        <v>0</v>
      </c>
      <c r="DX46" s="66">
        <f t="shared" si="149"/>
        <v>0</v>
      </c>
      <c r="DY46" s="66"/>
      <c r="DZ46" s="66">
        <f t="shared" si="150"/>
        <v>69438251</v>
      </c>
      <c r="EB46" s="9">
        <f t="shared" si="94"/>
        <v>175597081</v>
      </c>
      <c r="EC46" s="9">
        <f t="shared" si="95"/>
        <v>175597081</v>
      </c>
      <c r="ED46" s="9">
        <f t="shared" si="96"/>
        <v>175597081</v>
      </c>
    </row>
    <row r="47" spans="1:136" ht="29.4" customHeight="1" x14ac:dyDescent="0.3">
      <c r="A47" s="128"/>
      <c r="B47" s="237"/>
      <c r="C47" s="121" t="s">
        <v>262</v>
      </c>
      <c r="D47" s="69" t="s">
        <v>261</v>
      </c>
      <c r="E47" s="87">
        <v>410</v>
      </c>
      <c r="F47" s="67" t="s">
        <v>127</v>
      </c>
      <c r="G47" s="66">
        <f t="shared" si="102"/>
        <v>0</v>
      </c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22" t="e">
        <f t="shared" si="90"/>
        <v>#DIV/0!</v>
      </c>
      <c r="AF47" s="66">
        <f t="shared" si="103"/>
        <v>0</v>
      </c>
      <c r="AG47" s="66"/>
      <c r="AH47" s="66"/>
      <c r="AI47" s="66"/>
      <c r="AJ47" s="66"/>
      <c r="AK47" s="66"/>
      <c r="AL47" s="66"/>
      <c r="AM47" s="66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6"/>
      <c r="AY47" s="66"/>
      <c r="AZ47" s="66"/>
      <c r="BA47" s="66"/>
      <c r="BB47" s="66"/>
      <c r="BC47" s="66"/>
      <c r="BD47" s="22" t="e">
        <f t="shared" si="91"/>
        <v>#DIV/0!</v>
      </c>
      <c r="BE47" s="66">
        <f t="shared" si="104"/>
        <v>0</v>
      </c>
      <c r="BF47" s="66">
        <f t="shared" si="105"/>
        <v>0</v>
      </c>
      <c r="BG47" s="66">
        <f t="shared" si="106"/>
        <v>0</v>
      </c>
      <c r="BH47" s="66">
        <f t="shared" si="107"/>
        <v>0</v>
      </c>
      <c r="BI47" s="66">
        <f t="shared" si="108"/>
        <v>0</v>
      </c>
      <c r="BJ47" s="66">
        <f t="shared" si="109"/>
        <v>0</v>
      </c>
      <c r="BK47" s="66">
        <f t="shared" si="110"/>
        <v>0</v>
      </c>
      <c r="BL47" s="66">
        <f t="shared" si="111"/>
        <v>0</v>
      </c>
      <c r="BM47" s="66">
        <f t="shared" si="112"/>
        <v>0</v>
      </c>
      <c r="BN47" s="66">
        <f t="shared" si="113"/>
        <v>0</v>
      </c>
      <c r="BO47" s="66">
        <f t="shared" si="114"/>
        <v>0</v>
      </c>
      <c r="BP47" s="66">
        <f t="shared" si="115"/>
        <v>0</v>
      </c>
      <c r="BQ47" s="66">
        <f t="shared" si="116"/>
        <v>0</v>
      </c>
      <c r="BR47" s="66">
        <f t="shared" si="117"/>
        <v>0</v>
      </c>
      <c r="BS47" s="66">
        <f t="shared" si="118"/>
        <v>0</v>
      </c>
      <c r="BT47" s="66">
        <f t="shared" si="119"/>
        <v>0</v>
      </c>
      <c r="BU47" s="66">
        <f t="shared" si="120"/>
        <v>0</v>
      </c>
      <c r="BV47" s="66">
        <f t="shared" si="121"/>
        <v>0</v>
      </c>
      <c r="BW47" s="66">
        <f t="shared" si="122"/>
        <v>0</v>
      </c>
      <c r="BX47" s="66">
        <f t="shared" si="123"/>
        <v>0</v>
      </c>
      <c r="BY47" s="66">
        <f t="shared" si="124"/>
        <v>0</v>
      </c>
      <c r="BZ47" s="66">
        <f t="shared" si="125"/>
        <v>0</v>
      </c>
      <c r="CA47" s="66"/>
      <c r="CB47" s="66">
        <f t="shared" si="126"/>
        <v>0</v>
      </c>
      <c r="CC47" s="22" t="e">
        <f t="shared" si="92"/>
        <v>#DIV/0!</v>
      </c>
      <c r="CD47" s="66">
        <f t="shared" si="127"/>
        <v>0</v>
      </c>
      <c r="CE47" s="66"/>
      <c r="CF47" s="66"/>
      <c r="CG47" s="66"/>
      <c r="CH47" s="66"/>
      <c r="CI47" s="66"/>
      <c r="CJ47" s="66"/>
      <c r="CK47" s="66"/>
      <c r="CL47" s="66"/>
      <c r="CM47" s="66"/>
      <c r="CN47" s="66"/>
      <c r="CO47" s="66"/>
      <c r="CP47" s="66"/>
      <c r="CQ47" s="66"/>
      <c r="CR47" s="66"/>
      <c r="CS47" s="66"/>
      <c r="CT47" s="66"/>
      <c r="CU47" s="66"/>
      <c r="CV47" s="66"/>
      <c r="CW47" s="66"/>
      <c r="CX47" s="66"/>
      <c r="CY47" s="66"/>
      <c r="CZ47" s="66"/>
      <c r="DA47" s="66"/>
      <c r="DB47" s="22" t="e">
        <f t="shared" si="93"/>
        <v>#DIV/0!</v>
      </c>
      <c r="DC47" s="66">
        <f t="shared" si="128"/>
        <v>0</v>
      </c>
      <c r="DD47" s="66">
        <f t="shared" si="129"/>
        <v>0</v>
      </c>
      <c r="DE47" s="66">
        <f t="shared" si="130"/>
        <v>0</v>
      </c>
      <c r="DF47" s="66">
        <f t="shared" si="131"/>
        <v>0</v>
      </c>
      <c r="DG47" s="66">
        <f t="shared" si="132"/>
        <v>0</v>
      </c>
      <c r="DH47" s="66">
        <f t="shared" si="133"/>
        <v>0</v>
      </c>
      <c r="DI47" s="66">
        <f t="shared" si="134"/>
        <v>0</v>
      </c>
      <c r="DJ47" s="66">
        <f t="shared" si="135"/>
        <v>0</v>
      </c>
      <c r="DK47" s="66">
        <f t="shared" si="136"/>
        <v>0</v>
      </c>
      <c r="DL47" s="66">
        <f t="shared" si="137"/>
        <v>0</v>
      </c>
      <c r="DM47" s="66">
        <f t="shared" si="138"/>
        <v>0</v>
      </c>
      <c r="DN47" s="66">
        <f t="shared" si="139"/>
        <v>0</v>
      </c>
      <c r="DO47" s="66">
        <f t="shared" si="140"/>
        <v>0</v>
      </c>
      <c r="DP47" s="66">
        <f t="shared" si="141"/>
        <v>0</v>
      </c>
      <c r="DQ47" s="66">
        <f t="shared" si="142"/>
        <v>0</v>
      </c>
      <c r="DR47" s="66">
        <f t="shared" si="143"/>
        <v>0</v>
      </c>
      <c r="DS47" s="66">
        <f t="shared" si="144"/>
        <v>0</v>
      </c>
      <c r="DT47" s="66">
        <f t="shared" si="145"/>
        <v>0</v>
      </c>
      <c r="DU47" s="66">
        <f t="shared" si="146"/>
        <v>0</v>
      </c>
      <c r="DV47" s="66">
        <f t="shared" si="147"/>
        <v>0</v>
      </c>
      <c r="DW47" s="66">
        <f t="shared" si="148"/>
        <v>0</v>
      </c>
      <c r="DX47" s="66">
        <f t="shared" si="149"/>
        <v>0</v>
      </c>
      <c r="DY47" s="66"/>
      <c r="DZ47" s="66">
        <f t="shared" si="150"/>
        <v>0</v>
      </c>
      <c r="EB47" s="9">
        <f t="shared" si="94"/>
        <v>0</v>
      </c>
      <c r="EC47" s="9">
        <f t="shared" si="95"/>
        <v>0</v>
      </c>
      <c r="ED47" s="9">
        <f t="shared" si="96"/>
        <v>0</v>
      </c>
    </row>
    <row r="48" spans="1:136" ht="41.4" customHeight="1" x14ac:dyDescent="0.3">
      <c r="A48" s="128"/>
      <c r="B48" s="237"/>
      <c r="C48" s="121" t="s">
        <v>260</v>
      </c>
      <c r="D48" s="69" t="s">
        <v>259</v>
      </c>
      <c r="E48" s="87">
        <v>410</v>
      </c>
      <c r="F48" s="67" t="s">
        <v>127</v>
      </c>
      <c r="G48" s="66">
        <f t="shared" si="102"/>
        <v>593750584</v>
      </c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>
        <f>20000000</f>
        <v>20000000</v>
      </c>
      <c r="T48" s="66"/>
      <c r="U48" s="66"/>
      <c r="V48" s="66"/>
      <c r="W48" s="66"/>
      <c r="X48" s="66">
        <v>90000000</v>
      </c>
      <c r="Y48" s="66"/>
      <c r="Z48" s="66">
        <v>29997719</v>
      </c>
      <c r="AA48" s="66"/>
      <c r="AB48" s="66">
        <f>91899873+18823995+62217986+22078947+107278029+32084030+88067217+31302788</f>
        <v>453752865</v>
      </c>
      <c r="AC48" s="66"/>
      <c r="AD48" s="66"/>
      <c r="AE48" s="22">
        <f t="shared" si="90"/>
        <v>0.63043070286900127</v>
      </c>
      <c r="AF48" s="66">
        <f t="shared" si="103"/>
        <v>374318598</v>
      </c>
      <c r="AG48" s="66"/>
      <c r="AH48" s="66"/>
      <c r="AI48" s="66"/>
      <c r="AJ48" s="66"/>
      <c r="AK48" s="66"/>
      <c r="AL48" s="66"/>
      <c r="AM48" s="66"/>
      <c r="AN48" s="66"/>
      <c r="AO48" s="66"/>
      <c r="AP48" s="66"/>
      <c r="AQ48" s="66"/>
      <c r="AR48" s="66">
        <f>+'[6]MAYO 2019'!$T$904</f>
        <v>10000000</v>
      </c>
      <c r="AS48" s="66"/>
      <c r="AT48" s="66"/>
      <c r="AU48" s="66"/>
      <c r="AV48" s="66"/>
      <c r="AW48" s="66">
        <f>+'[9]ENERO 2019'!$Y$443</f>
        <v>90000000</v>
      </c>
      <c r="AX48" s="66"/>
      <c r="AY48" s="66">
        <f>+'[7]AGOSTO 2019'!$AA$1506</f>
        <v>19997719</v>
      </c>
      <c r="AZ48" s="66"/>
      <c r="BA48" s="66">
        <f>+'[11]JULIO 2019'!$AC$1312</f>
        <v>254320879</v>
      </c>
      <c r="BB48" s="66"/>
      <c r="BC48" s="66"/>
      <c r="BD48" s="22">
        <f t="shared" si="91"/>
        <v>0.36956929713099873</v>
      </c>
      <c r="BE48" s="66">
        <f t="shared" si="104"/>
        <v>219431986</v>
      </c>
      <c r="BF48" s="66">
        <f t="shared" si="105"/>
        <v>0</v>
      </c>
      <c r="BG48" s="66">
        <f t="shared" si="106"/>
        <v>0</v>
      </c>
      <c r="BH48" s="66">
        <f t="shared" si="107"/>
        <v>0</v>
      </c>
      <c r="BI48" s="66">
        <f t="shared" si="108"/>
        <v>0</v>
      </c>
      <c r="BJ48" s="66">
        <f t="shared" si="109"/>
        <v>0</v>
      </c>
      <c r="BK48" s="66">
        <f t="shared" si="110"/>
        <v>0</v>
      </c>
      <c r="BL48" s="66">
        <f t="shared" si="111"/>
        <v>0</v>
      </c>
      <c r="BM48" s="66">
        <f t="shared" si="112"/>
        <v>0</v>
      </c>
      <c r="BN48" s="66">
        <f t="shared" si="113"/>
        <v>0</v>
      </c>
      <c r="BO48" s="66">
        <f t="shared" si="114"/>
        <v>0</v>
      </c>
      <c r="BP48" s="66">
        <f t="shared" si="115"/>
        <v>0</v>
      </c>
      <c r="BQ48" s="66">
        <f t="shared" si="116"/>
        <v>10000000</v>
      </c>
      <c r="BR48" s="66">
        <f t="shared" si="117"/>
        <v>0</v>
      </c>
      <c r="BS48" s="66">
        <f t="shared" si="118"/>
        <v>0</v>
      </c>
      <c r="BT48" s="66">
        <f t="shared" si="119"/>
        <v>0</v>
      </c>
      <c r="BU48" s="66">
        <f t="shared" si="120"/>
        <v>0</v>
      </c>
      <c r="BV48" s="66">
        <f t="shared" si="121"/>
        <v>0</v>
      </c>
      <c r="BW48" s="66">
        <f t="shared" si="122"/>
        <v>0</v>
      </c>
      <c r="BX48" s="66">
        <f t="shared" si="123"/>
        <v>10000000</v>
      </c>
      <c r="BY48" s="66">
        <f t="shared" si="124"/>
        <v>0</v>
      </c>
      <c r="BZ48" s="66">
        <f t="shared" si="125"/>
        <v>199431986</v>
      </c>
      <c r="CA48" s="66"/>
      <c r="CB48" s="66">
        <f t="shared" si="126"/>
        <v>0</v>
      </c>
      <c r="CC48" s="22">
        <f t="shared" si="92"/>
        <v>0.52902569608251537</v>
      </c>
      <c r="CD48" s="66">
        <f t="shared" si="127"/>
        <v>314109316</v>
      </c>
      <c r="CE48" s="66"/>
      <c r="CF48" s="66"/>
      <c r="CG48" s="66"/>
      <c r="CH48" s="66"/>
      <c r="CI48" s="66"/>
      <c r="CJ48" s="66"/>
      <c r="CK48" s="66"/>
      <c r="CL48" s="66"/>
      <c r="CM48" s="66"/>
      <c r="CN48" s="66"/>
      <c r="CO48" s="66"/>
      <c r="CP48" s="66">
        <f>+'[7]AGOSTO 2019'!$H$1575</f>
        <v>10000000</v>
      </c>
      <c r="CQ48" s="66"/>
      <c r="CR48" s="66"/>
      <c r="CS48" s="66"/>
      <c r="CT48" s="66"/>
      <c r="CU48" s="66">
        <f>+'[1]OCTUBRE 2019'!$H$1989+'[1]OCTUBRE 2019'!$H$2000+'[1]OCTUBRE 2019'!$Z$2014</f>
        <v>75578503</v>
      </c>
      <c r="CV48" s="66"/>
      <c r="CW48" s="66">
        <f>+'[1]OCTUBRE 2019'!$H$2098</f>
        <v>19879424</v>
      </c>
      <c r="CX48" s="66"/>
      <c r="CY48" s="66">
        <f>+'[1]OCTUBRE 2019'!$AD$2014-'[1]OCTUBRE 2019'!$I$2014+'[1]OCTUBRE 2019'!$H$2047+'[1]OCTUBRE 2019'!$H$2072+'[1]OCTUBRE 2019'!$H$2087+'[1]OCTUBRE 2019'!$H$2091</f>
        <v>208651389</v>
      </c>
      <c r="CZ48" s="66"/>
      <c r="DA48" s="66"/>
      <c r="DB48" s="22">
        <f t="shared" si="93"/>
        <v>0.47097430391748463</v>
      </c>
      <c r="DC48" s="66">
        <f t="shared" si="128"/>
        <v>279641268</v>
      </c>
      <c r="DD48" s="66">
        <f t="shared" si="129"/>
        <v>0</v>
      </c>
      <c r="DE48" s="66">
        <f t="shared" si="130"/>
        <v>0</v>
      </c>
      <c r="DF48" s="66">
        <f t="shared" si="131"/>
        <v>0</v>
      </c>
      <c r="DG48" s="66">
        <f t="shared" si="132"/>
        <v>0</v>
      </c>
      <c r="DH48" s="66">
        <f t="shared" si="133"/>
        <v>0</v>
      </c>
      <c r="DI48" s="66">
        <f t="shared" si="134"/>
        <v>0</v>
      </c>
      <c r="DJ48" s="66">
        <f t="shared" si="135"/>
        <v>0</v>
      </c>
      <c r="DK48" s="66">
        <f t="shared" si="136"/>
        <v>0</v>
      </c>
      <c r="DL48" s="66">
        <f t="shared" si="137"/>
        <v>0</v>
      </c>
      <c r="DM48" s="66">
        <f t="shared" si="138"/>
        <v>0</v>
      </c>
      <c r="DN48" s="66">
        <f t="shared" si="139"/>
        <v>0</v>
      </c>
      <c r="DO48" s="66">
        <f t="shared" si="140"/>
        <v>10000000</v>
      </c>
      <c r="DP48" s="66">
        <f t="shared" si="141"/>
        <v>0</v>
      </c>
      <c r="DQ48" s="66">
        <f t="shared" si="142"/>
        <v>0</v>
      </c>
      <c r="DR48" s="66">
        <f t="shared" si="143"/>
        <v>0</v>
      </c>
      <c r="DS48" s="66">
        <f t="shared" si="144"/>
        <v>0</v>
      </c>
      <c r="DT48" s="66">
        <f t="shared" si="145"/>
        <v>14421497</v>
      </c>
      <c r="DU48" s="66">
        <f t="shared" si="146"/>
        <v>0</v>
      </c>
      <c r="DV48" s="66">
        <f t="shared" si="147"/>
        <v>10118295</v>
      </c>
      <c r="DW48" s="66">
        <f t="shared" si="148"/>
        <v>0</v>
      </c>
      <c r="DX48" s="66">
        <f t="shared" si="149"/>
        <v>245101476</v>
      </c>
      <c r="DY48" s="66"/>
      <c r="DZ48" s="66">
        <f t="shared" si="150"/>
        <v>0</v>
      </c>
      <c r="EB48" s="9">
        <f t="shared" si="94"/>
        <v>593750584</v>
      </c>
      <c r="EC48" s="9">
        <f t="shared" si="95"/>
        <v>593750584</v>
      </c>
      <c r="ED48" s="9">
        <f t="shared" si="96"/>
        <v>593750584</v>
      </c>
    </row>
    <row r="49" spans="1:134" ht="31.2" customHeight="1" x14ac:dyDescent="0.3">
      <c r="A49" s="128"/>
      <c r="B49" s="237"/>
      <c r="C49" s="121" t="s">
        <v>258</v>
      </c>
      <c r="D49" s="69" t="s">
        <v>257</v>
      </c>
      <c r="E49" s="87">
        <v>410</v>
      </c>
      <c r="F49" s="67" t="s">
        <v>256</v>
      </c>
      <c r="G49" s="66">
        <f t="shared" si="102"/>
        <v>0</v>
      </c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22" t="e">
        <f t="shared" si="90"/>
        <v>#DIV/0!</v>
      </c>
      <c r="AF49" s="66">
        <f t="shared" si="103"/>
        <v>0</v>
      </c>
      <c r="AG49" s="66"/>
      <c r="AH49" s="66"/>
      <c r="AI49" s="66"/>
      <c r="AJ49" s="66"/>
      <c r="AK49" s="66"/>
      <c r="AL49" s="66"/>
      <c r="AM49" s="66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6"/>
      <c r="AY49" s="66"/>
      <c r="AZ49" s="66"/>
      <c r="BA49" s="66"/>
      <c r="BB49" s="66"/>
      <c r="BC49" s="66"/>
      <c r="BD49" s="22" t="e">
        <f t="shared" si="91"/>
        <v>#DIV/0!</v>
      </c>
      <c r="BE49" s="66">
        <f t="shared" si="104"/>
        <v>0</v>
      </c>
      <c r="BF49" s="66">
        <f t="shared" si="105"/>
        <v>0</v>
      </c>
      <c r="BG49" s="66">
        <f t="shared" si="106"/>
        <v>0</v>
      </c>
      <c r="BH49" s="66">
        <f t="shared" si="107"/>
        <v>0</v>
      </c>
      <c r="BI49" s="66">
        <f t="shared" si="108"/>
        <v>0</v>
      </c>
      <c r="BJ49" s="66">
        <f t="shared" si="109"/>
        <v>0</v>
      </c>
      <c r="BK49" s="66">
        <f t="shared" si="110"/>
        <v>0</v>
      </c>
      <c r="BL49" s="66">
        <f t="shared" si="111"/>
        <v>0</v>
      </c>
      <c r="BM49" s="66">
        <f t="shared" si="112"/>
        <v>0</v>
      </c>
      <c r="BN49" s="66">
        <f t="shared" si="113"/>
        <v>0</v>
      </c>
      <c r="BO49" s="66">
        <f t="shared" si="114"/>
        <v>0</v>
      </c>
      <c r="BP49" s="66">
        <f t="shared" si="115"/>
        <v>0</v>
      </c>
      <c r="BQ49" s="66">
        <f t="shared" si="116"/>
        <v>0</v>
      </c>
      <c r="BR49" s="66">
        <f t="shared" si="117"/>
        <v>0</v>
      </c>
      <c r="BS49" s="66">
        <f t="shared" si="118"/>
        <v>0</v>
      </c>
      <c r="BT49" s="66">
        <f t="shared" si="119"/>
        <v>0</v>
      </c>
      <c r="BU49" s="66">
        <f t="shared" si="120"/>
        <v>0</v>
      </c>
      <c r="BV49" s="66">
        <f t="shared" si="121"/>
        <v>0</v>
      </c>
      <c r="BW49" s="66">
        <f t="shared" si="122"/>
        <v>0</v>
      </c>
      <c r="BX49" s="66">
        <f t="shared" si="123"/>
        <v>0</v>
      </c>
      <c r="BY49" s="66">
        <f t="shared" si="124"/>
        <v>0</v>
      </c>
      <c r="BZ49" s="66">
        <f t="shared" si="125"/>
        <v>0</v>
      </c>
      <c r="CA49" s="66"/>
      <c r="CB49" s="66">
        <f t="shared" si="126"/>
        <v>0</v>
      </c>
      <c r="CC49" s="22" t="e">
        <f t="shared" si="92"/>
        <v>#DIV/0!</v>
      </c>
      <c r="CD49" s="66">
        <f t="shared" si="127"/>
        <v>0</v>
      </c>
      <c r="CE49" s="66"/>
      <c r="CF49" s="66"/>
      <c r="CG49" s="66"/>
      <c r="CH49" s="66"/>
      <c r="CI49" s="66"/>
      <c r="CJ49" s="66"/>
      <c r="CK49" s="66"/>
      <c r="CL49" s="66"/>
      <c r="CM49" s="66"/>
      <c r="CN49" s="66"/>
      <c r="CO49" s="66"/>
      <c r="CP49" s="66"/>
      <c r="CQ49" s="66"/>
      <c r="CR49" s="66"/>
      <c r="CS49" s="66"/>
      <c r="CT49" s="66"/>
      <c r="CU49" s="66"/>
      <c r="CV49" s="66"/>
      <c r="CW49" s="66"/>
      <c r="CX49" s="66"/>
      <c r="CY49" s="66"/>
      <c r="CZ49" s="66"/>
      <c r="DA49" s="66"/>
      <c r="DB49" s="22" t="e">
        <f t="shared" si="93"/>
        <v>#DIV/0!</v>
      </c>
      <c r="DC49" s="66">
        <f t="shared" si="128"/>
        <v>0</v>
      </c>
      <c r="DD49" s="66">
        <f t="shared" si="129"/>
        <v>0</v>
      </c>
      <c r="DE49" s="66">
        <f t="shared" si="130"/>
        <v>0</v>
      </c>
      <c r="DF49" s="66">
        <f t="shared" si="131"/>
        <v>0</v>
      </c>
      <c r="DG49" s="66">
        <f t="shared" si="132"/>
        <v>0</v>
      </c>
      <c r="DH49" s="66">
        <f t="shared" si="133"/>
        <v>0</v>
      </c>
      <c r="DI49" s="66">
        <f t="shared" si="134"/>
        <v>0</v>
      </c>
      <c r="DJ49" s="66">
        <f t="shared" si="135"/>
        <v>0</v>
      </c>
      <c r="DK49" s="66">
        <f t="shared" si="136"/>
        <v>0</v>
      </c>
      <c r="DL49" s="66">
        <f t="shared" si="137"/>
        <v>0</v>
      </c>
      <c r="DM49" s="66">
        <f t="shared" si="138"/>
        <v>0</v>
      </c>
      <c r="DN49" s="66">
        <f t="shared" si="139"/>
        <v>0</v>
      </c>
      <c r="DO49" s="66">
        <f t="shared" si="140"/>
        <v>0</v>
      </c>
      <c r="DP49" s="66">
        <f t="shared" si="141"/>
        <v>0</v>
      </c>
      <c r="DQ49" s="66">
        <f t="shared" si="142"/>
        <v>0</v>
      </c>
      <c r="DR49" s="66">
        <f t="shared" si="143"/>
        <v>0</v>
      </c>
      <c r="DS49" s="66">
        <f t="shared" si="144"/>
        <v>0</v>
      </c>
      <c r="DT49" s="66">
        <f t="shared" si="145"/>
        <v>0</v>
      </c>
      <c r="DU49" s="66">
        <f t="shared" si="146"/>
        <v>0</v>
      </c>
      <c r="DV49" s="66">
        <f t="shared" si="147"/>
        <v>0</v>
      </c>
      <c r="DW49" s="66">
        <f t="shared" si="148"/>
        <v>0</v>
      </c>
      <c r="DX49" s="66">
        <f t="shared" si="149"/>
        <v>0</v>
      </c>
      <c r="DY49" s="66"/>
      <c r="DZ49" s="66">
        <f t="shared" si="150"/>
        <v>0</v>
      </c>
      <c r="EB49" s="9">
        <f t="shared" si="94"/>
        <v>0</v>
      </c>
      <c r="EC49" s="9">
        <f t="shared" si="95"/>
        <v>0</v>
      </c>
      <c r="ED49" s="9">
        <f t="shared" si="96"/>
        <v>0</v>
      </c>
    </row>
    <row r="50" spans="1:134" ht="19.8" customHeight="1" x14ac:dyDescent="0.3">
      <c r="A50" s="128"/>
      <c r="B50" s="237"/>
      <c r="C50" s="121" t="s">
        <v>255</v>
      </c>
      <c r="D50" s="69" t="s">
        <v>254</v>
      </c>
      <c r="E50" s="87">
        <v>410</v>
      </c>
      <c r="F50" s="67" t="s">
        <v>253</v>
      </c>
      <c r="G50" s="66">
        <f t="shared" si="102"/>
        <v>106000000</v>
      </c>
      <c r="H50" s="66"/>
      <c r="I50" s="66"/>
      <c r="J50" s="66"/>
      <c r="K50" s="66"/>
      <c r="L50" s="66"/>
      <c r="M50" s="66"/>
      <c r="N50" s="66"/>
      <c r="O50" s="66">
        <f>40000000-15000000-17000000</f>
        <v>8000000</v>
      </c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>
        <f>88000000+25000000-15000000</f>
        <v>98000000</v>
      </c>
      <c r="AE50" s="22">
        <f t="shared" si="90"/>
        <v>0.52640778301886793</v>
      </c>
      <c r="AF50" s="66">
        <f t="shared" si="103"/>
        <v>55799225</v>
      </c>
      <c r="AG50" s="66"/>
      <c r="AH50" s="66"/>
      <c r="AI50" s="66"/>
      <c r="AJ50" s="66"/>
      <c r="AK50" s="66"/>
      <c r="AL50" s="66"/>
      <c r="AM50" s="66"/>
      <c r="AN50" s="66">
        <f>+'[1]OCTUBRE 2019'!$Q$2119</f>
        <v>2000000</v>
      </c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>
        <f>+'[1]OCTUBRE 2019'!$AG$2119</f>
        <v>53799225</v>
      </c>
      <c r="BD50" s="22">
        <f t="shared" si="91"/>
        <v>0.47359221698113207</v>
      </c>
      <c r="BE50" s="66">
        <f t="shared" si="104"/>
        <v>50200775</v>
      </c>
      <c r="BF50" s="66">
        <f t="shared" si="105"/>
        <v>0</v>
      </c>
      <c r="BG50" s="66">
        <f t="shared" si="106"/>
        <v>0</v>
      </c>
      <c r="BH50" s="66">
        <f t="shared" si="107"/>
        <v>0</v>
      </c>
      <c r="BI50" s="66">
        <f t="shared" si="108"/>
        <v>0</v>
      </c>
      <c r="BJ50" s="66">
        <f t="shared" si="109"/>
        <v>0</v>
      </c>
      <c r="BK50" s="66">
        <f t="shared" si="110"/>
        <v>0</v>
      </c>
      <c r="BL50" s="66">
        <f t="shared" si="111"/>
        <v>0</v>
      </c>
      <c r="BM50" s="66">
        <f t="shared" si="112"/>
        <v>6000000</v>
      </c>
      <c r="BN50" s="66">
        <f t="shared" si="113"/>
        <v>0</v>
      </c>
      <c r="BO50" s="66">
        <f t="shared" si="114"/>
        <v>0</v>
      </c>
      <c r="BP50" s="66">
        <f t="shared" si="115"/>
        <v>0</v>
      </c>
      <c r="BQ50" s="66">
        <f t="shared" si="116"/>
        <v>0</v>
      </c>
      <c r="BR50" s="66">
        <f t="shared" si="117"/>
        <v>0</v>
      </c>
      <c r="BS50" s="66">
        <f t="shared" si="118"/>
        <v>0</v>
      </c>
      <c r="BT50" s="66">
        <f t="shared" si="119"/>
        <v>0</v>
      </c>
      <c r="BU50" s="66">
        <f t="shared" si="120"/>
        <v>0</v>
      </c>
      <c r="BV50" s="66">
        <f t="shared" si="121"/>
        <v>0</v>
      </c>
      <c r="BW50" s="66">
        <f t="shared" si="122"/>
        <v>0</v>
      </c>
      <c r="BX50" s="66">
        <f t="shared" si="123"/>
        <v>0</v>
      </c>
      <c r="BY50" s="66">
        <f t="shared" si="124"/>
        <v>0</v>
      </c>
      <c r="BZ50" s="66">
        <f t="shared" si="125"/>
        <v>0</v>
      </c>
      <c r="CA50" s="66"/>
      <c r="CB50" s="66">
        <f t="shared" si="126"/>
        <v>44200775</v>
      </c>
      <c r="CC50" s="22">
        <f t="shared" si="92"/>
        <v>0.45093608490566039</v>
      </c>
      <c r="CD50" s="66">
        <f t="shared" si="127"/>
        <v>47799225</v>
      </c>
      <c r="CE50" s="66"/>
      <c r="CF50" s="66"/>
      <c r="CG50" s="66"/>
      <c r="CH50" s="66"/>
      <c r="CI50" s="66"/>
      <c r="CJ50" s="66"/>
      <c r="CK50" s="66"/>
      <c r="CL50" s="66"/>
      <c r="CM50" s="66"/>
      <c r="CN50" s="66"/>
      <c r="CO50" s="66"/>
      <c r="CP50" s="66"/>
      <c r="CQ50" s="66"/>
      <c r="CR50" s="66"/>
      <c r="CS50" s="66"/>
      <c r="CT50" s="66"/>
      <c r="CU50" s="66"/>
      <c r="CV50" s="66"/>
      <c r="CW50" s="66"/>
      <c r="CX50" s="66"/>
      <c r="CY50" s="66"/>
      <c r="CZ50" s="66"/>
      <c r="DA50" s="66">
        <f>+'[1]OCTUBRE 2019'!$H$2117</f>
        <v>47799225</v>
      </c>
      <c r="DB50" s="22">
        <f t="shared" si="93"/>
        <v>0.54906391509433961</v>
      </c>
      <c r="DC50" s="66">
        <f t="shared" si="128"/>
        <v>58200775</v>
      </c>
      <c r="DD50" s="66">
        <f t="shared" si="129"/>
        <v>0</v>
      </c>
      <c r="DE50" s="66">
        <f t="shared" si="130"/>
        <v>0</v>
      </c>
      <c r="DF50" s="66">
        <f t="shared" si="131"/>
        <v>0</v>
      </c>
      <c r="DG50" s="66">
        <f t="shared" si="132"/>
        <v>0</v>
      </c>
      <c r="DH50" s="66">
        <f t="shared" si="133"/>
        <v>0</v>
      </c>
      <c r="DI50" s="66">
        <f t="shared" si="134"/>
        <v>0</v>
      </c>
      <c r="DJ50" s="66">
        <f t="shared" si="135"/>
        <v>0</v>
      </c>
      <c r="DK50" s="66">
        <f t="shared" si="136"/>
        <v>8000000</v>
      </c>
      <c r="DL50" s="66">
        <f t="shared" si="137"/>
        <v>0</v>
      </c>
      <c r="DM50" s="66">
        <f t="shared" si="138"/>
        <v>0</v>
      </c>
      <c r="DN50" s="66">
        <f t="shared" si="139"/>
        <v>0</v>
      </c>
      <c r="DO50" s="66">
        <f t="shared" si="140"/>
        <v>0</v>
      </c>
      <c r="DP50" s="66">
        <f t="shared" si="141"/>
        <v>0</v>
      </c>
      <c r="DQ50" s="66">
        <f t="shared" si="142"/>
        <v>0</v>
      </c>
      <c r="DR50" s="66">
        <f t="shared" si="143"/>
        <v>0</v>
      </c>
      <c r="DS50" s="66">
        <f t="shared" si="144"/>
        <v>0</v>
      </c>
      <c r="DT50" s="66">
        <f t="shared" si="145"/>
        <v>0</v>
      </c>
      <c r="DU50" s="66">
        <f t="shared" si="146"/>
        <v>0</v>
      </c>
      <c r="DV50" s="66">
        <f t="shared" si="147"/>
        <v>0</v>
      </c>
      <c r="DW50" s="66">
        <f t="shared" si="148"/>
        <v>0</v>
      </c>
      <c r="DX50" s="66">
        <f t="shared" si="149"/>
        <v>0</v>
      </c>
      <c r="DY50" s="66"/>
      <c r="DZ50" s="66">
        <f t="shared" si="150"/>
        <v>50200775</v>
      </c>
      <c r="EB50" s="9">
        <f t="shared" si="94"/>
        <v>106000000</v>
      </c>
      <c r="EC50" s="9">
        <f t="shared" si="95"/>
        <v>106000000</v>
      </c>
      <c r="ED50" s="9">
        <f t="shared" si="96"/>
        <v>106000000</v>
      </c>
    </row>
    <row r="51" spans="1:134" ht="32.25" customHeight="1" x14ac:dyDescent="0.3">
      <c r="A51" s="128"/>
      <c r="B51" s="122"/>
      <c r="C51" s="121" t="s">
        <v>252</v>
      </c>
      <c r="D51" s="69" t="s">
        <v>251</v>
      </c>
      <c r="E51" s="87">
        <v>410</v>
      </c>
      <c r="F51" s="127" t="s">
        <v>127</v>
      </c>
      <c r="G51" s="66">
        <f t="shared" si="102"/>
        <v>6000000</v>
      </c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>
        <f>6000000</f>
        <v>6000000</v>
      </c>
      <c r="AA51" s="66"/>
      <c r="AB51" s="66"/>
      <c r="AC51" s="66"/>
      <c r="AD51" s="66"/>
      <c r="AE51" s="22">
        <f t="shared" si="90"/>
        <v>0.44443250000000001</v>
      </c>
      <c r="AF51" s="66">
        <f t="shared" si="103"/>
        <v>2666595</v>
      </c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/>
      <c r="AY51" s="66">
        <f>+'[1]OCTUBRE 2019'!$AB$2167</f>
        <v>2666595</v>
      </c>
      <c r="AZ51" s="66"/>
      <c r="BA51" s="66"/>
      <c r="BB51" s="66"/>
      <c r="BC51" s="66"/>
      <c r="BD51" s="22">
        <f t="shared" si="91"/>
        <v>0.55556749999999999</v>
      </c>
      <c r="BE51" s="66">
        <f t="shared" si="104"/>
        <v>3333405</v>
      </c>
      <c r="BF51" s="66">
        <f t="shared" si="105"/>
        <v>0</v>
      </c>
      <c r="BG51" s="66">
        <f t="shared" si="106"/>
        <v>0</v>
      </c>
      <c r="BH51" s="66">
        <f t="shared" si="107"/>
        <v>0</v>
      </c>
      <c r="BI51" s="66">
        <f t="shared" si="108"/>
        <v>0</v>
      </c>
      <c r="BJ51" s="66">
        <f t="shared" si="109"/>
        <v>0</v>
      </c>
      <c r="BK51" s="66">
        <f t="shared" si="110"/>
        <v>0</v>
      </c>
      <c r="BL51" s="66">
        <f t="shared" si="111"/>
        <v>0</v>
      </c>
      <c r="BM51" s="66">
        <f t="shared" si="112"/>
        <v>0</v>
      </c>
      <c r="BN51" s="66">
        <f t="shared" si="113"/>
        <v>0</v>
      </c>
      <c r="BO51" s="66">
        <f t="shared" si="114"/>
        <v>0</v>
      </c>
      <c r="BP51" s="66">
        <f t="shared" si="115"/>
        <v>0</v>
      </c>
      <c r="BQ51" s="66">
        <f t="shared" si="116"/>
        <v>0</v>
      </c>
      <c r="BR51" s="66">
        <f t="shared" si="117"/>
        <v>0</v>
      </c>
      <c r="BS51" s="66">
        <f t="shared" si="118"/>
        <v>0</v>
      </c>
      <c r="BT51" s="66">
        <f t="shared" si="119"/>
        <v>0</v>
      </c>
      <c r="BU51" s="66">
        <f t="shared" si="120"/>
        <v>0</v>
      </c>
      <c r="BV51" s="66">
        <f t="shared" si="121"/>
        <v>0</v>
      </c>
      <c r="BW51" s="66">
        <f t="shared" si="122"/>
        <v>0</v>
      </c>
      <c r="BX51" s="66">
        <f t="shared" si="123"/>
        <v>3333405</v>
      </c>
      <c r="BY51" s="66">
        <f t="shared" si="124"/>
        <v>0</v>
      </c>
      <c r="BZ51" s="66">
        <f t="shared" si="125"/>
        <v>0</v>
      </c>
      <c r="CA51" s="66"/>
      <c r="CB51" s="66">
        <f t="shared" si="126"/>
        <v>0</v>
      </c>
      <c r="CC51" s="22">
        <f t="shared" si="92"/>
        <v>0.44443250000000001</v>
      </c>
      <c r="CD51" s="66">
        <f t="shared" si="127"/>
        <v>2666595</v>
      </c>
      <c r="CE51" s="66"/>
      <c r="CF51" s="66"/>
      <c r="CG51" s="66"/>
      <c r="CH51" s="66"/>
      <c r="CI51" s="66"/>
      <c r="CJ51" s="66"/>
      <c r="CK51" s="66"/>
      <c r="CL51" s="66"/>
      <c r="CM51" s="66"/>
      <c r="CN51" s="66"/>
      <c r="CO51" s="66"/>
      <c r="CP51" s="66"/>
      <c r="CQ51" s="66"/>
      <c r="CR51" s="66"/>
      <c r="CS51" s="66"/>
      <c r="CT51" s="66"/>
      <c r="CU51" s="66"/>
      <c r="CV51" s="66"/>
      <c r="CW51" s="66">
        <f>+'[1]OCTUBRE 2019'!$H$2165</f>
        <v>2666595</v>
      </c>
      <c r="CX51" s="66"/>
      <c r="CY51" s="66"/>
      <c r="CZ51" s="66"/>
      <c r="DA51" s="66"/>
      <c r="DB51" s="22">
        <f t="shared" si="93"/>
        <v>0.55556749999999999</v>
      </c>
      <c r="DC51" s="66">
        <f t="shared" si="128"/>
        <v>3333405</v>
      </c>
      <c r="DD51" s="66">
        <f t="shared" si="129"/>
        <v>0</v>
      </c>
      <c r="DE51" s="66">
        <f t="shared" si="130"/>
        <v>0</v>
      </c>
      <c r="DF51" s="66">
        <f t="shared" si="131"/>
        <v>0</v>
      </c>
      <c r="DG51" s="66">
        <f t="shared" si="132"/>
        <v>0</v>
      </c>
      <c r="DH51" s="66">
        <f t="shared" si="133"/>
        <v>0</v>
      </c>
      <c r="DI51" s="66">
        <f t="shared" si="134"/>
        <v>0</v>
      </c>
      <c r="DJ51" s="66">
        <f t="shared" si="135"/>
        <v>0</v>
      </c>
      <c r="DK51" s="66">
        <f t="shared" si="136"/>
        <v>0</v>
      </c>
      <c r="DL51" s="66">
        <f t="shared" si="137"/>
        <v>0</v>
      </c>
      <c r="DM51" s="66">
        <f t="shared" si="138"/>
        <v>0</v>
      </c>
      <c r="DN51" s="66">
        <f t="shared" si="139"/>
        <v>0</v>
      </c>
      <c r="DO51" s="66">
        <f t="shared" si="140"/>
        <v>0</v>
      </c>
      <c r="DP51" s="66">
        <f t="shared" si="141"/>
        <v>0</v>
      </c>
      <c r="DQ51" s="66">
        <f t="shared" si="142"/>
        <v>0</v>
      </c>
      <c r="DR51" s="66">
        <f t="shared" si="143"/>
        <v>0</v>
      </c>
      <c r="DS51" s="66">
        <f t="shared" si="144"/>
        <v>0</v>
      </c>
      <c r="DT51" s="66">
        <f t="shared" si="145"/>
        <v>0</v>
      </c>
      <c r="DU51" s="66">
        <f t="shared" si="146"/>
        <v>0</v>
      </c>
      <c r="DV51" s="66">
        <f t="shared" si="147"/>
        <v>3333405</v>
      </c>
      <c r="DW51" s="66">
        <f t="shared" si="148"/>
        <v>0</v>
      </c>
      <c r="DX51" s="66">
        <f t="shared" si="149"/>
        <v>0</v>
      </c>
      <c r="DY51" s="66"/>
      <c r="DZ51" s="66">
        <f t="shared" si="150"/>
        <v>0</v>
      </c>
      <c r="EB51" s="9">
        <f t="shared" si="94"/>
        <v>6000000</v>
      </c>
      <c r="EC51" s="9">
        <f t="shared" si="95"/>
        <v>6000000</v>
      </c>
      <c r="ED51" s="9">
        <f t="shared" si="96"/>
        <v>6000000</v>
      </c>
    </row>
    <row r="52" spans="1:134" ht="31.2" customHeight="1" x14ac:dyDescent="0.3">
      <c r="A52" s="128"/>
      <c r="B52" s="122"/>
      <c r="C52" s="121" t="s">
        <v>250</v>
      </c>
      <c r="D52" s="69" t="s">
        <v>249</v>
      </c>
      <c r="E52" s="87">
        <v>410</v>
      </c>
      <c r="F52" s="127" t="s">
        <v>127</v>
      </c>
      <c r="G52" s="66">
        <f t="shared" si="102"/>
        <v>24000000</v>
      </c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>
        <f>24000000</f>
        <v>24000000</v>
      </c>
      <c r="AA52" s="66"/>
      <c r="AB52" s="66"/>
      <c r="AC52" s="66"/>
      <c r="AD52" s="66"/>
      <c r="AE52" s="22">
        <f t="shared" si="90"/>
        <v>0.15190716666666668</v>
      </c>
      <c r="AF52" s="66">
        <f t="shared" si="103"/>
        <v>3645772</v>
      </c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/>
      <c r="AY52" s="66">
        <f>+'[1]OCTUBRE 2019'!$AB$2173</f>
        <v>3645772</v>
      </c>
      <c r="AZ52" s="66"/>
      <c r="BA52" s="66"/>
      <c r="BB52" s="66"/>
      <c r="BC52" s="66"/>
      <c r="BD52" s="22">
        <f t="shared" si="91"/>
        <v>0.8480928333333333</v>
      </c>
      <c r="BE52" s="66">
        <f t="shared" si="104"/>
        <v>20354228</v>
      </c>
      <c r="BF52" s="66">
        <f t="shared" si="105"/>
        <v>0</v>
      </c>
      <c r="BG52" s="66">
        <f t="shared" si="106"/>
        <v>0</v>
      </c>
      <c r="BH52" s="66">
        <f t="shared" si="107"/>
        <v>0</v>
      </c>
      <c r="BI52" s="66">
        <f t="shared" si="108"/>
        <v>0</v>
      </c>
      <c r="BJ52" s="66">
        <f t="shared" si="109"/>
        <v>0</v>
      </c>
      <c r="BK52" s="66">
        <f t="shared" si="110"/>
        <v>0</v>
      </c>
      <c r="BL52" s="66">
        <f t="shared" si="111"/>
        <v>0</v>
      </c>
      <c r="BM52" s="66">
        <f t="shared" si="112"/>
        <v>0</v>
      </c>
      <c r="BN52" s="66">
        <f t="shared" si="113"/>
        <v>0</v>
      </c>
      <c r="BO52" s="66">
        <f t="shared" si="114"/>
        <v>0</v>
      </c>
      <c r="BP52" s="66">
        <f t="shared" si="115"/>
        <v>0</v>
      </c>
      <c r="BQ52" s="66">
        <f t="shared" si="116"/>
        <v>0</v>
      </c>
      <c r="BR52" s="66">
        <f t="shared" si="117"/>
        <v>0</v>
      </c>
      <c r="BS52" s="66">
        <f t="shared" si="118"/>
        <v>0</v>
      </c>
      <c r="BT52" s="66">
        <f t="shared" si="119"/>
        <v>0</v>
      </c>
      <c r="BU52" s="66">
        <f t="shared" si="120"/>
        <v>0</v>
      </c>
      <c r="BV52" s="66">
        <f t="shared" si="121"/>
        <v>0</v>
      </c>
      <c r="BW52" s="66">
        <f t="shared" si="122"/>
        <v>0</v>
      </c>
      <c r="BX52" s="66">
        <f t="shared" si="123"/>
        <v>20354228</v>
      </c>
      <c r="BY52" s="66">
        <f t="shared" si="124"/>
        <v>0</v>
      </c>
      <c r="BZ52" s="66">
        <f t="shared" si="125"/>
        <v>0</v>
      </c>
      <c r="CA52" s="66"/>
      <c r="CB52" s="66">
        <f t="shared" si="126"/>
        <v>0</v>
      </c>
      <c r="CC52" s="22">
        <f t="shared" si="92"/>
        <v>0.15190716666666668</v>
      </c>
      <c r="CD52" s="66">
        <f t="shared" si="127"/>
        <v>3645772</v>
      </c>
      <c r="CE52" s="66"/>
      <c r="CF52" s="66"/>
      <c r="CG52" s="66"/>
      <c r="CH52" s="66"/>
      <c r="CI52" s="66"/>
      <c r="CJ52" s="66"/>
      <c r="CK52" s="66"/>
      <c r="CL52" s="66"/>
      <c r="CM52" s="66"/>
      <c r="CN52" s="66"/>
      <c r="CO52" s="66"/>
      <c r="CP52" s="66"/>
      <c r="CQ52" s="66"/>
      <c r="CR52" s="66"/>
      <c r="CS52" s="66"/>
      <c r="CT52" s="66"/>
      <c r="CU52" s="66"/>
      <c r="CV52" s="66"/>
      <c r="CW52" s="66">
        <f>+'[1]OCTUBRE 2019'!$H$2171</f>
        <v>3645772</v>
      </c>
      <c r="CX52" s="66"/>
      <c r="CY52" s="66"/>
      <c r="CZ52" s="66"/>
      <c r="DA52" s="66"/>
      <c r="DB52" s="22">
        <f t="shared" si="93"/>
        <v>0.8480928333333333</v>
      </c>
      <c r="DC52" s="66">
        <f t="shared" si="128"/>
        <v>20354228</v>
      </c>
      <c r="DD52" s="66">
        <f t="shared" si="129"/>
        <v>0</v>
      </c>
      <c r="DE52" s="66">
        <f t="shared" si="130"/>
        <v>0</v>
      </c>
      <c r="DF52" s="66">
        <f t="shared" si="131"/>
        <v>0</v>
      </c>
      <c r="DG52" s="66">
        <f t="shared" si="132"/>
        <v>0</v>
      </c>
      <c r="DH52" s="66">
        <f t="shared" si="133"/>
        <v>0</v>
      </c>
      <c r="DI52" s="66">
        <f t="shared" si="134"/>
        <v>0</v>
      </c>
      <c r="DJ52" s="66">
        <f t="shared" si="135"/>
        <v>0</v>
      </c>
      <c r="DK52" s="66">
        <f t="shared" si="136"/>
        <v>0</v>
      </c>
      <c r="DL52" s="66">
        <f t="shared" si="137"/>
        <v>0</v>
      </c>
      <c r="DM52" s="66">
        <f t="shared" si="138"/>
        <v>0</v>
      </c>
      <c r="DN52" s="66">
        <f t="shared" si="139"/>
        <v>0</v>
      </c>
      <c r="DO52" s="66">
        <f t="shared" si="140"/>
        <v>0</v>
      </c>
      <c r="DP52" s="66">
        <f t="shared" si="141"/>
        <v>0</v>
      </c>
      <c r="DQ52" s="66">
        <f t="shared" si="142"/>
        <v>0</v>
      </c>
      <c r="DR52" s="66">
        <f t="shared" si="143"/>
        <v>0</v>
      </c>
      <c r="DS52" s="66">
        <f t="shared" si="144"/>
        <v>0</v>
      </c>
      <c r="DT52" s="66">
        <f t="shared" si="145"/>
        <v>0</v>
      </c>
      <c r="DU52" s="66">
        <f t="shared" si="146"/>
        <v>0</v>
      </c>
      <c r="DV52" s="66">
        <f t="shared" si="147"/>
        <v>20354228</v>
      </c>
      <c r="DW52" s="66">
        <f t="shared" si="148"/>
        <v>0</v>
      </c>
      <c r="DX52" s="66">
        <f t="shared" si="149"/>
        <v>0</v>
      </c>
      <c r="DY52" s="66"/>
      <c r="DZ52" s="66">
        <f t="shared" si="150"/>
        <v>0</v>
      </c>
      <c r="EB52" s="9">
        <f t="shared" si="94"/>
        <v>24000000</v>
      </c>
      <c r="EC52" s="9">
        <f t="shared" si="95"/>
        <v>24000000</v>
      </c>
      <c r="ED52" s="9">
        <f t="shared" si="96"/>
        <v>24000000</v>
      </c>
    </row>
    <row r="53" spans="1:134" ht="27.6" customHeight="1" x14ac:dyDescent="0.3">
      <c r="A53" s="128"/>
      <c r="B53" s="122"/>
      <c r="C53" s="121" t="s">
        <v>248</v>
      </c>
      <c r="D53" s="69" t="s">
        <v>247</v>
      </c>
      <c r="E53" s="87">
        <v>410</v>
      </c>
      <c r="F53" s="127" t="s">
        <v>127</v>
      </c>
      <c r="G53" s="66">
        <f t="shared" si="102"/>
        <v>17000000</v>
      </c>
      <c r="H53" s="66"/>
      <c r="I53" s="66"/>
      <c r="J53" s="66"/>
      <c r="K53" s="66"/>
      <c r="L53" s="66"/>
      <c r="M53" s="66"/>
      <c r="N53" s="66"/>
      <c r="O53" s="66">
        <v>17000000</v>
      </c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22">
        <f t="shared" si="90"/>
        <v>9.2941176470588235E-2</v>
      </c>
      <c r="AF53" s="66">
        <f t="shared" si="103"/>
        <v>1580000</v>
      </c>
      <c r="AG53" s="66"/>
      <c r="AH53" s="66"/>
      <c r="AI53" s="66"/>
      <c r="AJ53" s="66"/>
      <c r="AK53" s="66"/>
      <c r="AL53" s="66"/>
      <c r="AM53" s="66"/>
      <c r="AN53" s="66">
        <f>+'[1]OCTUBRE 2019'!$Q$2181</f>
        <v>1580000</v>
      </c>
      <c r="AO53" s="66"/>
      <c r="AP53" s="66"/>
      <c r="AQ53" s="66"/>
      <c r="AR53" s="66"/>
      <c r="AS53" s="66"/>
      <c r="AT53" s="66"/>
      <c r="AU53" s="66"/>
      <c r="AV53" s="66"/>
      <c r="AW53" s="66"/>
      <c r="AX53" s="66"/>
      <c r="AY53" s="66"/>
      <c r="AZ53" s="66"/>
      <c r="BA53" s="66"/>
      <c r="BB53" s="66"/>
      <c r="BC53" s="66"/>
      <c r="BD53" s="22">
        <f t="shared" si="91"/>
        <v>0.90705882352941181</v>
      </c>
      <c r="BE53" s="66">
        <f t="shared" si="104"/>
        <v>15420000</v>
      </c>
      <c r="BF53" s="66">
        <f t="shared" si="105"/>
        <v>0</v>
      </c>
      <c r="BG53" s="66">
        <f t="shared" si="106"/>
        <v>0</v>
      </c>
      <c r="BH53" s="66">
        <f t="shared" si="107"/>
        <v>0</v>
      </c>
      <c r="BI53" s="66">
        <f t="shared" si="108"/>
        <v>0</v>
      </c>
      <c r="BJ53" s="66">
        <f t="shared" si="109"/>
        <v>0</v>
      </c>
      <c r="BK53" s="66">
        <f t="shared" si="110"/>
        <v>0</v>
      </c>
      <c r="BL53" s="66">
        <f t="shared" si="111"/>
        <v>0</v>
      </c>
      <c r="BM53" s="66">
        <f t="shared" si="112"/>
        <v>15420000</v>
      </c>
      <c r="BN53" s="66">
        <f t="shared" si="113"/>
        <v>0</v>
      </c>
      <c r="BO53" s="66">
        <f t="shared" si="114"/>
        <v>0</v>
      </c>
      <c r="BP53" s="66">
        <f t="shared" si="115"/>
        <v>0</v>
      </c>
      <c r="BQ53" s="66">
        <f t="shared" si="116"/>
        <v>0</v>
      </c>
      <c r="BR53" s="66">
        <f t="shared" si="117"/>
        <v>0</v>
      </c>
      <c r="BS53" s="66">
        <f t="shared" si="118"/>
        <v>0</v>
      </c>
      <c r="BT53" s="66">
        <f t="shared" si="119"/>
        <v>0</v>
      </c>
      <c r="BU53" s="66">
        <f t="shared" si="120"/>
        <v>0</v>
      </c>
      <c r="BV53" s="66">
        <f t="shared" si="121"/>
        <v>0</v>
      </c>
      <c r="BW53" s="66">
        <f t="shared" si="122"/>
        <v>0</v>
      </c>
      <c r="BX53" s="66">
        <f t="shared" si="123"/>
        <v>0</v>
      </c>
      <c r="BY53" s="66">
        <f t="shared" si="124"/>
        <v>0</v>
      </c>
      <c r="BZ53" s="66">
        <f t="shared" si="125"/>
        <v>0</v>
      </c>
      <c r="CA53" s="66"/>
      <c r="CB53" s="66">
        <f t="shared" si="126"/>
        <v>0</v>
      </c>
      <c r="CC53" s="22">
        <f t="shared" si="92"/>
        <v>0</v>
      </c>
      <c r="CD53" s="66">
        <f t="shared" si="127"/>
        <v>0</v>
      </c>
      <c r="CE53" s="66"/>
      <c r="CF53" s="66"/>
      <c r="CG53" s="66"/>
      <c r="CH53" s="66"/>
      <c r="CI53" s="66"/>
      <c r="CJ53" s="66"/>
      <c r="CK53" s="66"/>
      <c r="CL53" s="66"/>
      <c r="CM53" s="66"/>
      <c r="CN53" s="66"/>
      <c r="CO53" s="66"/>
      <c r="CP53" s="66"/>
      <c r="CQ53" s="66"/>
      <c r="CR53" s="66"/>
      <c r="CS53" s="66"/>
      <c r="CT53" s="66"/>
      <c r="CU53" s="66"/>
      <c r="CV53" s="66"/>
      <c r="CW53" s="66"/>
      <c r="CX53" s="66"/>
      <c r="CY53" s="66"/>
      <c r="CZ53" s="66"/>
      <c r="DA53" s="66"/>
      <c r="DB53" s="22">
        <f t="shared" si="93"/>
        <v>1</v>
      </c>
      <c r="DC53" s="66">
        <f t="shared" si="128"/>
        <v>17000000</v>
      </c>
      <c r="DD53" s="66">
        <f t="shared" si="129"/>
        <v>0</v>
      </c>
      <c r="DE53" s="66">
        <f t="shared" si="130"/>
        <v>0</v>
      </c>
      <c r="DF53" s="66">
        <f t="shared" si="131"/>
        <v>0</v>
      </c>
      <c r="DG53" s="66">
        <f t="shared" si="132"/>
        <v>0</v>
      </c>
      <c r="DH53" s="66">
        <f t="shared" si="133"/>
        <v>0</v>
      </c>
      <c r="DI53" s="66">
        <f t="shared" si="134"/>
        <v>0</v>
      </c>
      <c r="DJ53" s="66">
        <f t="shared" si="135"/>
        <v>0</v>
      </c>
      <c r="DK53" s="66">
        <f t="shared" si="136"/>
        <v>17000000</v>
      </c>
      <c r="DL53" s="66">
        <f t="shared" si="137"/>
        <v>0</v>
      </c>
      <c r="DM53" s="66">
        <f t="shared" si="138"/>
        <v>0</v>
      </c>
      <c r="DN53" s="66">
        <f t="shared" si="139"/>
        <v>0</v>
      </c>
      <c r="DO53" s="66">
        <f t="shared" si="140"/>
        <v>0</v>
      </c>
      <c r="DP53" s="66">
        <f t="shared" si="141"/>
        <v>0</v>
      </c>
      <c r="DQ53" s="66">
        <f t="shared" si="142"/>
        <v>0</v>
      </c>
      <c r="DR53" s="66">
        <f t="shared" si="143"/>
        <v>0</v>
      </c>
      <c r="DS53" s="66">
        <f t="shared" si="144"/>
        <v>0</v>
      </c>
      <c r="DT53" s="66">
        <f t="shared" si="145"/>
        <v>0</v>
      </c>
      <c r="DU53" s="66">
        <f t="shared" si="146"/>
        <v>0</v>
      </c>
      <c r="DV53" s="66">
        <f t="shared" si="147"/>
        <v>0</v>
      </c>
      <c r="DW53" s="66">
        <f t="shared" si="148"/>
        <v>0</v>
      </c>
      <c r="DX53" s="66">
        <f t="shared" si="149"/>
        <v>0</v>
      </c>
      <c r="DY53" s="66"/>
      <c r="DZ53" s="66">
        <f t="shared" si="150"/>
        <v>0</v>
      </c>
      <c r="EB53" s="9">
        <f t="shared" si="94"/>
        <v>17000000</v>
      </c>
      <c r="EC53" s="9">
        <f t="shared" si="95"/>
        <v>17000000</v>
      </c>
      <c r="ED53" s="9">
        <f t="shared" si="96"/>
        <v>17000000</v>
      </c>
    </row>
    <row r="54" spans="1:134" ht="27.6" customHeight="1" x14ac:dyDescent="0.3">
      <c r="A54" s="128"/>
      <c r="B54" s="122"/>
      <c r="C54" s="121" t="s">
        <v>246</v>
      </c>
      <c r="D54" s="69" t="s">
        <v>245</v>
      </c>
      <c r="E54" s="87">
        <v>410</v>
      </c>
      <c r="F54" s="127" t="s">
        <v>127</v>
      </c>
      <c r="G54" s="66">
        <f t="shared" si="102"/>
        <v>17000000</v>
      </c>
      <c r="H54" s="66"/>
      <c r="I54" s="66"/>
      <c r="J54" s="66"/>
      <c r="K54" s="66"/>
      <c r="L54" s="66"/>
      <c r="M54" s="66"/>
      <c r="N54" s="66"/>
      <c r="O54" s="66">
        <v>10000000</v>
      </c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>
        <f>7000000</f>
        <v>7000000</v>
      </c>
      <c r="AA54" s="66"/>
      <c r="AB54" s="66"/>
      <c r="AC54" s="66"/>
      <c r="AD54" s="66"/>
      <c r="AE54" s="22">
        <f t="shared" si="90"/>
        <v>0.59151411764705886</v>
      </c>
      <c r="AF54" s="66">
        <f t="shared" si="103"/>
        <v>10055740</v>
      </c>
      <c r="AG54" s="66"/>
      <c r="AH54" s="66"/>
      <c r="AI54" s="66"/>
      <c r="AJ54" s="66"/>
      <c r="AK54" s="66"/>
      <c r="AL54" s="66"/>
      <c r="AM54" s="66"/>
      <c r="AN54" s="66">
        <f>+'[1]OCTUBRE 2019'!$Q$2190</f>
        <v>7055740</v>
      </c>
      <c r="AO54" s="66"/>
      <c r="AP54" s="66"/>
      <c r="AQ54" s="66"/>
      <c r="AR54" s="66"/>
      <c r="AS54" s="66"/>
      <c r="AT54" s="66"/>
      <c r="AU54" s="66"/>
      <c r="AV54" s="66"/>
      <c r="AW54" s="66"/>
      <c r="AX54" s="66"/>
      <c r="AY54" s="66">
        <f>+'[2]SEPTIEMBRE 2019'!$AB$1960</f>
        <v>3000000</v>
      </c>
      <c r="AZ54" s="66"/>
      <c r="BA54" s="66"/>
      <c r="BB54" s="66"/>
      <c r="BC54" s="66"/>
      <c r="BD54" s="22">
        <f t="shared" si="91"/>
        <v>0.40848588235294114</v>
      </c>
      <c r="BE54" s="66">
        <f t="shared" si="104"/>
        <v>6944260</v>
      </c>
      <c r="BF54" s="66">
        <f t="shared" si="105"/>
        <v>0</v>
      </c>
      <c r="BG54" s="66">
        <f t="shared" si="106"/>
        <v>0</v>
      </c>
      <c r="BH54" s="66">
        <f t="shared" si="107"/>
        <v>0</v>
      </c>
      <c r="BI54" s="66">
        <f t="shared" si="108"/>
        <v>0</v>
      </c>
      <c r="BJ54" s="66">
        <f t="shared" si="109"/>
        <v>0</v>
      </c>
      <c r="BK54" s="66">
        <f t="shared" si="110"/>
        <v>0</v>
      </c>
      <c r="BL54" s="66">
        <f t="shared" si="111"/>
        <v>0</v>
      </c>
      <c r="BM54" s="66">
        <f t="shared" si="112"/>
        <v>2944260</v>
      </c>
      <c r="BN54" s="66">
        <f t="shared" si="113"/>
        <v>0</v>
      </c>
      <c r="BO54" s="66">
        <f t="shared" si="114"/>
        <v>0</v>
      </c>
      <c r="BP54" s="66">
        <f t="shared" si="115"/>
        <v>0</v>
      </c>
      <c r="BQ54" s="66">
        <f t="shared" si="116"/>
        <v>0</v>
      </c>
      <c r="BR54" s="66">
        <f t="shared" si="117"/>
        <v>0</v>
      </c>
      <c r="BS54" s="66">
        <f t="shared" si="118"/>
        <v>0</v>
      </c>
      <c r="BT54" s="66">
        <f t="shared" si="119"/>
        <v>0</v>
      </c>
      <c r="BU54" s="66">
        <f t="shared" si="120"/>
        <v>0</v>
      </c>
      <c r="BV54" s="66">
        <f t="shared" si="121"/>
        <v>0</v>
      </c>
      <c r="BW54" s="66">
        <f t="shared" si="122"/>
        <v>0</v>
      </c>
      <c r="BX54" s="66">
        <f t="shared" si="123"/>
        <v>4000000</v>
      </c>
      <c r="BY54" s="66">
        <f t="shared" si="124"/>
        <v>0</v>
      </c>
      <c r="BZ54" s="66">
        <f t="shared" si="125"/>
        <v>0</v>
      </c>
      <c r="CA54" s="66"/>
      <c r="CB54" s="66">
        <f t="shared" si="126"/>
        <v>0</v>
      </c>
      <c r="CC54" s="22">
        <f t="shared" si="92"/>
        <v>0.59151411764705886</v>
      </c>
      <c r="CD54" s="66">
        <f t="shared" si="127"/>
        <v>10055740</v>
      </c>
      <c r="CE54" s="66"/>
      <c r="CF54" s="66"/>
      <c r="CG54" s="66"/>
      <c r="CH54" s="66"/>
      <c r="CI54" s="66"/>
      <c r="CJ54" s="66"/>
      <c r="CK54" s="66"/>
      <c r="CL54" s="66">
        <f>+'[1]OCTUBRE 2019'!$Q$2190</f>
        <v>7055740</v>
      </c>
      <c r="CM54" s="66"/>
      <c r="CN54" s="66"/>
      <c r="CO54" s="66"/>
      <c r="CP54" s="66"/>
      <c r="CQ54" s="66"/>
      <c r="CR54" s="66"/>
      <c r="CS54" s="66"/>
      <c r="CT54" s="66"/>
      <c r="CU54" s="66"/>
      <c r="CV54" s="66"/>
      <c r="CW54" s="66">
        <f>+'[1]OCTUBRE 2019'!$AB$2190</f>
        <v>3000000</v>
      </c>
      <c r="CX54" s="66"/>
      <c r="CY54" s="66"/>
      <c r="CZ54" s="66"/>
      <c r="DA54" s="66"/>
      <c r="DB54" s="22">
        <f t="shared" si="93"/>
        <v>0.40848588235294114</v>
      </c>
      <c r="DC54" s="66">
        <f t="shared" si="128"/>
        <v>6944260</v>
      </c>
      <c r="DD54" s="66">
        <f t="shared" si="129"/>
        <v>0</v>
      </c>
      <c r="DE54" s="66">
        <f t="shared" si="130"/>
        <v>0</v>
      </c>
      <c r="DF54" s="66">
        <f t="shared" si="131"/>
        <v>0</v>
      </c>
      <c r="DG54" s="66">
        <f t="shared" si="132"/>
        <v>0</v>
      </c>
      <c r="DH54" s="66">
        <f t="shared" si="133"/>
        <v>0</v>
      </c>
      <c r="DI54" s="66">
        <f t="shared" si="134"/>
        <v>0</v>
      </c>
      <c r="DJ54" s="66">
        <f t="shared" si="135"/>
        <v>0</v>
      </c>
      <c r="DK54" s="66">
        <f t="shared" si="136"/>
        <v>2944260</v>
      </c>
      <c r="DL54" s="66">
        <f t="shared" si="137"/>
        <v>0</v>
      </c>
      <c r="DM54" s="66">
        <f t="shared" si="138"/>
        <v>0</v>
      </c>
      <c r="DN54" s="66">
        <f t="shared" si="139"/>
        <v>0</v>
      </c>
      <c r="DO54" s="66">
        <f t="shared" si="140"/>
        <v>0</v>
      </c>
      <c r="DP54" s="66">
        <f t="shared" si="141"/>
        <v>0</v>
      </c>
      <c r="DQ54" s="66">
        <f t="shared" si="142"/>
        <v>0</v>
      </c>
      <c r="DR54" s="66">
        <f t="shared" si="143"/>
        <v>0</v>
      </c>
      <c r="DS54" s="66">
        <f t="shared" si="144"/>
        <v>0</v>
      </c>
      <c r="DT54" s="66">
        <f t="shared" si="145"/>
        <v>0</v>
      </c>
      <c r="DU54" s="66">
        <f t="shared" si="146"/>
        <v>0</v>
      </c>
      <c r="DV54" s="66">
        <f t="shared" si="147"/>
        <v>4000000</v>
      </c>
      <c r="DW54" s="66">
        <f t="shared" si="148"/>
        <v>0</v>
      </c>
      <c r="DX54" s="66">
        <f t="shared" si="149"/>
        <v>0</v>
      </c>
      <c r="DY54" s="66"/>
      <c r="DZ54" s="66">
        <f t="shared" si="150"/>
        <v>0</v>
      </c>
      <c r="EB54" s="9">
        <f t="shared" si="94"/>
        <v>17000000</v>
      </c>
      <c r="EC54" s="9">
        <f t="shared" si="95"/>
        <v>17000000</v>
      </c>
      <c r="ED54" s="9">
        <f t="shared" si="96"/>
        <v>17000000</v>
      </c>
    </row>
    <row r="55" spans="1:134" ht="31.5" customHeight="1" x14ac:dyDescent="0.3">
      <c r="A55" s="128"/>
      <c r="B55" s="122"/>
      <c r="C55" s="121" t="s">
        <v>244</v>
      </c>
      <c r="D55" s="69" t="s">
        <v>243</v>
      </c>
      <c r="E55" s="87">
        <v>410</v>
      </c>
      <c r="F55" s="127" t="s">
        <v>127</v>
      </c>
      <c r="G55" s="66">
        <f t="shared" si="102"/>
        <v>24000000</v>
      </c>
      <c r="H55" s="66"/>
      <c r="I55" s="66"/>
      <c r="J55" s="66"/>
      <c r="K55" s="66"/>
      <c r="L55" s="66"/>
      <c r="M55" s="66"/>
      <c r="N55" s="66"/>
      <c r="O55" s="66">
        <v>15000000</v>
      </c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>
        <f>9000000</f>
        <v>9000000</v>
      </c>
      <c r="AA55" s="66"/>
      <c r="AB55" s="66"/>
      <c r="AC55" s="66"/>
      <c r="AD55" s="66"/>
      <c r="AE55" s="22">
        <f t="shared" si="90"/>
        <v>0.16250000000000001</v>
      </c>
      <c r="AF55" s="66">
        <f t="shared" si="103"/>
        <v>3900000</v>
      </c>
      <c r="AG55" s="66"/>
      <c r="AH55" s="66"/>
      <c r="AI55" s="66"/>
      <c r="AJ55" s="66"/>
      <c r="AK55" s="66"/>
      <c r="AL55" s="66"/>
      <c r="AM55" s="66"/>
      <c r="AN55" s="66">
        <f>+'[2]SEPTIEMBRE 2019'!$Q$1974</f>
        <v>900000</v>
      </c>
      <c r="AO55" s="66"/>
      <c r="AP55" s="66"/>
      <c r="AQ55" s="66"/>
      <c r="AR55" s="66"/>
      <c r="AS55" s="66"/>
      <c r="AT55" s="66"/>
      <c r="AU55" s="66"/>
      <c r="AV55" s="66"/>
      <c r="AW55" s="66"/>
      <c r="AX55" s="66"/>
      <c r="AY55" s="66">
        <f>+'[1]OCTUBRE 2019'!$AB$2204</f>
        <v>3000000</v>
      </c>
      <c r="AZ55" s="66"/>
      <c r="BA55" s="66"/>
      <c r="BB55" s="66"/>
      <c r="BC55" s="66"/>
      <c r="BD55" s="22">
        <f t="shared" si="91"/>
        <v>0.83750000000000002</v>
      </c>
      <c r="BE55" s="66">
        <f t="shared" si="104"/>
        <v>20100000</v>
      </c>
      <c r="BF55" s="66">
        <f t="shared" si="105"/>
        <v>0</v>
      </c>
      <c r="BG55" s="66">
        <f t="shared" si="106"/>
        <v>0</v>
      </c>
      <c r="BH55" s="66">
        <f t="shared" si="107"/>
        <v>0</v>
      </c>
      <c r="BI55" s="66">
        <f t="shared" si="108"/>
        <v>0</v>
      </c>
      <c r="BJ55" s="66">
        <f t="shared" si="109"/>
        <v>0</v>
      </c>
      <c r="BK55" s="66">
        <f t="shared" si="110"/>
        <v>0</v>
      </c>
      <c r="BL55" s="66">
        <f t="shared" si="111"/>
        <v>0</v>
      </c>
      <c r="BM55" s="66">
        <f t="shared" si="112"/>
        <v>14100000</v>
      </c>
      <c r="BN55" s="66">
        <f t="shared" si="113"/>
        <v>0</v>
      </c>
      <c r="BO55" s="66">
        <f t="shared" si="114"/>
        <v>0</v>
      </c>
      <c r="BP55" s="66">
        <f t="shared" si="115"/>
        <v>0</v>
      </c>
      <c r="BQ55" s="66">
        <f t="shared" si="116"/>
        <v>0</v>
      </c>
      <c r="BR55" s="66">
        <f t="shared" si="117"/>
        <v>0</v>
      </c>
      <c r="BS55" s="66">
        <f t="shared" si="118"/>
        <v>0</v>
      </c>
      <c r="BT55" s="66">
        <f t="shared" si="119"/>
        <v>0</v>
      </c>
      <c r="BU55" s="66">
        <f t="shared" si="120"/>
        <v>0</v>
      </c>
      <c r="BV55" s="66">
        <f t="shared" si="121"/>
        <v>0</v>
      </c>
      <c r="BW55" s="66">
        <f t="shared" si="122"/>
        <v>0</v>
      </c>
      <c r="BX55" s="66">
        <f t="shared" si="123"/>
        <v>6000000</v>
      </c>
      <c r="BY55" s="66">
        <f t="shared" si="124"/>
        <v>0</v>
      </c>
      <c r="BZ55" s="66">
        <f t="shared" si="125"/>
        <v>0</v>
      </c>
      <c r="CA55" s="66"/>
      <c r="CB55" s="66">
        <f t="shared" si="126"/>
        <v>0</v>
      </c>
      <c r="CC55" s="22">
        <f t="shared" si="92"/>
        <v>0.16250000000000001</v>
      </c>
      <c r="CD55" s="66">
        <f t="shared" si="127"/>
        <v>3900000</v>
      </c>
      <c r="CE55" s="66"/>
      <c r="CF55" s="66"/>
      <c r="CG55" s="66"/>
      <c r="CH55" s="66"/>
      <c r="CI55" s="66"/>
      <c r="CJ55" s="66"/>
      <c r="CK55" s="66"/>
      <c r="CL55" s="66">
        <f>+'[2]SEPTIEMBRE 2019'!$H$1972</f>
        <v>900000</v>
      </c>
      <c r="CM55" s="66"/>
      <c r="CN55" s="66"/>
      <c r="CO55" s="66"/>
      <c r="CP55" s="66"/>
      <c r="CQ55" s="66"/>
      <c r="CR55" s="66"/>
      <c r="CS55" s="66"/>
      <c r="CT55" s="66"/>
      <c r="CU55" s="66"/>
      <c r="CV55" s="66"/>
      <c r="CW55" s="66">
        <f>+'[1]OCTUBRE 2019'!$H$2206</f>
        <v>3000000</v>
      </c>
      <c r="CX55" s="66"/>
      <c r="CY55" s="66"/>
      <c r="CZ55" s="66"/>
      <c r="DA55" s="66"/>
      <c r="DB55" s="22">
        <f t="shared" si="93"/>
        <v>0.83750000000000002</v>
      </c>
      <c r="DC55" s="66">
        <f t="shared" si="128"/>
        <v>20100000</v>
      </c>
      <c r="DD55" s="66">
        <f t="shared" si="129"/>
        <v>0</v>
      </c>
      <c r="DE55" s="66">
        <f t="shared" si="130"/>
        <v>0</v>
      </c>
      <c r="DF55" s="66">
        <f t="shared" si="131"/>
        <v>0</v>
      </c>
      <c r="DG55" s="66">
        <f t="shared" si="132"/>
        <v>0</v>
      </c>
      <c r="DH55" s="66">
        <f t="shared" si="133"/>
        <v>0</v>
      </c>
      <c r="DI55" s="66">
        <f t="shared" si="134"/>
        <v>0</v>
      </c>
      <c r="DJ55" s="66">
        <f t="shared" si="135"/>
        <v>0</v>
      </c>
      <c r="DK55" s="66">
        <f t="shared" si="136"/>
        <v>14100000</v>
      </c>
      <c r="DL55" s="66">
        <f t="shared" si="137"/>
        <v>0</v>
      </c>
      <c r="DM55" s="66">
        <f t="shared" si="138"/>
        <v>0</v>
      </c>
      <c r="DN55" s="66">
        <f t="shared" si="139"/>
        <v>0</v>
      </c>
      <c r="DO55" s="66">
        <f t="shared" si="140"/>
        <v>0</v>
      </c>
      <c r="DP55" s="66">
        <f t="shared" si="141"/>
        <v>0</v>
      </c>
      <c r="DQ55" s="66">
        <f t="shared" si="142"/>
        <v>0</v>
      </c>
      <c r="DR55" s="66">
        <f t="shared" si="143"/>
        <v>0</v>
      </c>
      <c r="DS55" s="66">
        <f t="shared" si="144"/>
        <v>0</v>
      </c>
      <c r="DT55" s="66">
        <f t="shared" si="145"/>
        <v>0</v>
      </c>
      <c r="DU55" s="66">
        <f t="shared" si="146"/>
        <v>0</v>
      </c>
      <c r="DV55" s="66">
        <f t="shared" si="147"/>
        <v>6000000</v>
      </c>
      <c r="DW55" s="66">
        <f t="shared" si="148"/>
        <v>0</v>
      </c>
      <c r="DX55" s="66">
        <f t="shared" si="149"/>
        <v>0</v>
      </c>
      <c r="DY55" s="66"/>
      <c r="DZ55" s="66">
        <f t="shared" si="150"/>
        <v>0</v>
      </c>
      <c r="EB55" s="9">
        <f t="shared" si="94"/>
        <v>24000000</v>
      </c>
      <c r="EC55" s="9">
        <f t="shared" si="95"/>
        <v>24000000</v>
      </c>
      <c r="ED55" s="9">
        <f t="shared" si="96"/>
        <v>24000000</v>
      </c>
    </row>
    <row r="56" spans="1:134" ht="30.75" customHeight="1" x14ac:dyDescent="0.3">
      <c r="A56" s="128"/>
      <c r="B56" s="122"/>
      <c r="C56" s="121" t="s">
        <v>242</v>
      </c>
      <c r="D56" s="69" t="s">
        <v>241</v>
      </c>
      <c r="E56" s="87">
        <v>410</v>
      </c>
      <c r="F56" s="127" t="s">
        <v>127</v>
      </c>
      <c r="G56" s="66">
        <f t="shared" si="102"/>
        <v>24000000</v>
      </c>
      <c r="H56" s="66"/>
      <c r="I56" s="66"/>
      <c r="J56" s="66"/>
      <c r="K56" s="66"/>
      <c r="L56" s="66"/>
      <c r="M56" s="66"/>
      <c r="N56" s="66"/>
      <c r="O56" s="66">
        <v>16000000</v>
      </c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>
        <v>8000000</v>
      </c>
      <c r="AA56" s="66"/>
      <c r="AB56" s="66"/>
      <c r="AC56" s="66"/>
      <c r="AD56" s="66"/>
      <c r="AE56" s="22">
        <f t="shared" si="90"/>
        <v>0.14903870833333333</v>
      </c>
      <c r="AF56" s="66">
        <f t="shared" si="103"/>
        <v>3576929</v>
      </c>
      <c r="AG56" s="66"/>
      <c r="AH56" s="66"/>
      <c r="AI56" s="66"/>
      <c r="AJ56" s="66"/>
      <c r="AK56" s="66"/>
      <c r="AL56" s="66"/>
      <c r="AM56" s="66"/>
      <c r="AN56" s="66">
        <f>+'[1]OCTUBRE 2019'!$Q$2212</f>
        <v>3576929</v>
      </c>
      <c r="AO56" s="66"/>
      <c r="AP56" s="66"/>
      <c r="AQ56" s="66"/>
      <c r="AR56" s="66"/>
      <c r="AS56" s="66"/>
      <c r="AT56" s="66"/>
      <c r="AU56" s="66"/>
      <c r="AV56" s="66"/>
      <c r="AW56" s="66"/>
      <c r="AX56" s="66"/>
      <c r="AY56" s="66"/>
      <c r="AZ56" s="66"/>
      <c r="BA56" s="66"/>
      <c r="BB56" s="66"/>
      <c r="BC56" s="66"/>
      <c r="BD56" s="22">
        <f t="shared" si="91"/>
        <v>0.85096129166666667</v>
      </c>
      <c r="BE56" s="66">
        <f t="shared" si="104"/>
        <v>20423071</v>
      </c>
      <c r="BF56" s="66">
        <f t="shared" si="105"/>
        <v>0</v>
      </c>
      <c r="BG56" s="66">
        <f t="shared" si="106"/>
        <v>0</v>
      </c>
      <c r="BH56" s="66">
        <f t="shared" si="107"/>
        <v>0</v>
      </c>
      <c r="BI56" s="66">
        <f t="shared" si="108"/>
        <v>0</v>
      </c>
      <c r="BJ56" s="66">
        <f t="shared" si="109"/>
        <v>0</v>
      </c>
      <c r="BK56" s="66">
        <f t="shared" si="110"/>
        <v>0</v>
      </c>
      <c r="BL56" s="66">
        <f t="shared" si="111"/>
        <v>0</v>
      </c>
      <c r="BM56" s="66">
        <f t="shared" si="112"/>
        <v>12423071</v>
      </c>
      <c r="BN56" s="66">
        <f t="shared" si="113"/>
        <v>0</v>
      </c>
      <c r="BO56" s="66">
        <f t="shared" si="114"/>
        <v>0</v>
      </c>
      <c r="BP56" s="66">
        <f t="shared" si="115"/>
        <v>0</v>
      </c>
      <c r="BQ56" s="66">
        <f t="shared" si="116"/>
        <v>0</v>
      </c>
      <c r="BR56" s="66">
        <f t="shared" si="117"/>
        <v>0</v>
      </c>
      <c r="BS56" s="66">
        <f t="shared" si="118"/>
        <v>0</v>
      </c>
      <c r="BT56" s="66">
        <f t="shared" si="119"/>
        <v>0</v>
      </c>
      <c r="BU56" s="66">
        <f t="shared" si="120"/>
        <v>0</v>
      </c>
      <c r="BV56" s="66">
        <f t="shared" si="121"/>
        <v>0</v>
      </c>
      <c r="BW56" s="66">
        <f t="shared" si="122"/>
        <v>0</v>
      </c>
      <c r="BX56" s="66">
        <f t="shared" si="123"/>
        <v>8000000</v>
      </c>
      <c r="BY56" s="66">
        <f t="shared" si="124"/>
        <v>0</v>
      </c>
      <c r="BZ56" s="66">
        <f t="shared" si="125"/>
        <v>0</v>
      </c>
      <c r="CA56" s="66"/>
      <c r="CB56" s="66">
        <f t="shared" si="126"/>
        <v>0</v>
      </c>
      <c r="CC56" s="22">
        <f t="shared" si="92"/>
        <v>0.14903870833333333</v>
      </c>
      <c r="CD56" s="66">
        <f t="shared" si="127"/>
        <v>3576929</v>
      </c>
      <c r="CE56" s="66"/>
      <c r="CF56" s="66"/>
      <c r="CG56" s="66"/>
      <c r="CH56" s="66"/>
      <c r="CI56" s="66"/>
      <c r="CJ56" s="66"/>
      <c r="CK56" s="66"/>
      <c r="CL56" s="66">
        <f>+'[1]OCTUBRE 2019'!$H$2210</f>
        <v>3576929</v>
      </c>
      <c r="CM56" s="66"/>
      <c r="CN56" s="66"/>
      <c r="CO56" s="66"/>
      <c r="CP56" s="66"/>
      <c r="CQ56" s="66"/>
      <c r="CR56" s="66"/>
      <c r="CS56" s="66"/>
      <c r="CT56" s="66"/>
      <c r="CU56" s="66"/>
      <c r="CV56" s="66"/>
      <c r="CW56" s="66"/>
      <c r="CX56" s="66"/>
      <c r="CY56" s="66"/>
      <c r="CZ56" s="66"/>
      <c r="DA56" s="66"/>
      <c r="DB56" s="22">
        <f t="shared" si="93"/>
        <v>0.85096129166666667</v>
      </c>
      <c r="DC56" s="66">
        <f t="shared" si="128"/>
        <v>20423071</v>
      </c>
      <c r="DD56" s="66">
        <f t="shared" si="129"/>
        <v>0</v>
      </c>
      <c r="DE56" s="66">
        <f t="shared" si="130"/>
        <v>0</v>
      </c>
      <c r="DF56" s="66">
        <f t="shared" si="131"/>
        <v>0</v>
      </c>
      <c r="DG56" s="66">
        <f t="shared" si="132"/>
        <v>0</v>
      </c>
      <c r="DH56" s="66">
        <f t="shared" si="133"/>
        <v>0</v>
      </c>
      <c r="DI56" s="66">
        <f t="shared" si="134"/>
        <v>0</v>
      </c>
      <c r="DJ56" s="66">
        <f t="shared" si="135"/>
        <v>0</v>
      </c>
      <c r="DK56" s="66">
        <f t="shared" si="136"/>
        <v>12423071</v>
      </c>
      <c r="DL56" s="66">
        <f t="shared" si="137"/>
        <v>0</v>
      </c>
      <c r="DM56" s="66">
        <f t="shared" si="138"/>
        <v>0</v>
      </c>
      <c r="DN56" s="66">
        <f t="shared" si="139"/>
        <v>0</v>
      </c>
      <c r="DO56" s="66">
        <f t="shared" si="140"/>
        <v>0</v>
      </c>
      <c r="DP56" s="66">
        <f t="shared" si="141"/>
        <v>0</v>
      </c>
      <c r="DQ56" s="66">
        <f t="shared" si="142"/>
        <v>0</v>
      </c>
      <c r="DR56" s="66">
        <f t="shared" si="143"/>
        <v>0</v>
      </c>
      <c r="DS56" s="66">
        <f t="shared" si="144"/>
        <v>0</v>
      </c>
      <c r="DT56" s="66">
        <f t="shared" si="145"/>
        <v>0</v>
      </c>
      <c r="DU56" s="66">
        <f t="shared" si="146"/>
        <v>0</v>
      </c>
      <c r="DV56" s="66">
        <f t="shared" si="147"/>
        <v>8000000</v>
      </c>
      <c r="DW56" s="66">
        <f t="shared" si="148"/>
        <v>0</v>
      </c>
      <c r="DX56" s="66">
        <f t="shared" si="149"/>
        <v>0</v>
      </c>
      <c r="DY56" s="66"/>
      <c r="DZ56" s="66">
        <f t="shared" si="150"/>
        <v>0</v>
      </c>
      <c r="EB56" s="9">
        <f t="shared" si="94"/>
        <v>24000000</v>
      </c>
      <c r="EC56" s="9">
        <f t="shared" si="95"/>
        <v>24000000</v>
      </c>
      <c r="ED56" s="9">
        <f t="shared" si="96"/>
        <v>24000000</v>
      </c>
    </row>
    <row r="57" spans="1:134" ht="32.4" customHeight="1" x14ac:dyDescent="0.3">
      <c r="A57" s="128"/>
      <c r="B57" s="122"/>
      <c r="C57" s="121" t="s">
        <v>240</v>
      </c>
      <c r="D57" s="69" t="s">
        <v>239</v>
      </c>
      <c r="E57" s="87">
        <v>410</v>
      </c>
      <c r="F57" s="127" t="s">
        <v>127</v>
      </c>
      <c r="G57" s="66">
        <f t="shared" si="102"/>
        <v>40000000</v>
      </c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>
        <f>20000000+20000000</f>
        <v>40000000</v>
      </c>
      <c r="AA57" s="66"/>
      <c r="AB57" s="66"/>
      <c r="AC57" s="66"/>
      <c r="AD57" s="66"/>
      <c r="AE57" s="22">
        <f t="shared" si="90"/>
        <v>0.121786875</v>
      </c>
      <c r="AF57" s="66">
        <f t="shared" si="103"/>
        <v>4871475</v>
      </c>
      <c r="AG57" s="66"/>
      <c r="AH57" s="66"/>
      <c r="AI57" s="66"/>
      <c r="AJ57" s="66"/>
      <c r="AK57" s="66"/>
      <c r="AL57" s="66"/>
      <c r="AM57" s="66"/>
      <c r="AN57" s="66"/>
      <c r="AO57" s="66"/>
      <c r="AP57" s="66"/>
      <c r="AQ57" s="66"/>
      <c r="AR57" s="66"/>
      <c r="AS57" s="66"/>
      <c r="AT57" s="66"/>
      <c r="AU57" s="66"/>
      <c r="AV57" s="66"/>
      <c r="AW57" s="66"/>
      <c r="AX57" s="66"/>
      <c r="AY57" s="66">
        <f>+'[1]OCTUBRE 2019'!$AB$2225</f>
        <v>4871475</v>
      </c>
      <c r="AZ57" s="66"/>
      <c r="BA57" s="66"/>
      <c r="BB57" s="66"/>
      <c r="BC57" s="66"/>
      <c r="BD57" s="22">
        <f t="shared" si="91"/>
        <v>0.87821312500000004</v>
      </c>
      <c r="BE57" s="66">
        <f t="shared" si="104"/>
        <v>35128525</v>
      </c>
      <c r="BF57" s="66">
        <f t="shared" si="105"/>
        <v>0</v>
      </c>
      <c r="BG57" s="66">
        <f t="shared" si="106"/>
        <v>0</v>
      </c>
      <c r="BH57" s="66">
        <f t="shared" si="107"/>
        <v>0</v>
      </c>
      <c r="BI57" s="66">
        <f t="shared" si="108"/>
        <v>0</v>
      </c>
      <c r="BJ57" s="66">
        <f t="shared" si="109"/>
        <v>0</v>
      </c>
      <c r="BK57" s="66">
        <f t="shared" si="110"/>
        <v>0</v>
      </c>
      <c r="BL57" s="66">
        <f t="shared" si="111"/>
        <v>0</v>
      </c>
      <c r="BM57" s="66">
        <f t="shared" si="112"/>
        <v>0</v>
      </c>
      <c r="BN57" s="66">
        <f t="shared" si="113"/>
        <v>0</v>
      </c>
      <c r="BO57" s="66">
        <f t="shared" si="114"/>
        <v>0</v>
      </c>
      <c r="BP57" s="66">
        <f t="shared" si="115"/>
        <v>0</v>
      </c>
      <c r="BQ57" s="66">
        <f t="shared" si="116"/>
        <v>0</v>
      </c>
      <c r="BR57" s="66">
        <f t="shared" si="117"/>
        <v>0</v>
      </c>
      <c r="BS57" s="66">
        <f t="shared" si="118"/>
        <v>0</v>
      </c>
      <c r="BT57" s="66">
        <f t="shared" si="119"/>
        <v>0</v>
      </c>
      <c r="BU57" s="66">
        <f t="shared" si="120"/>
        <v>0</v>
      </c>
      <c r="BV57" s="66">
        <f t="shared" si="121"/>
        <v>0</v>
      </c>
      <c r="BW57" s="66">
        <f t="shared" si="122"/>
        <v>0</v>
      </c>
      <c r="BX57" s="66">
        <f t="shared" si="123"/>
        <v>35128525</v>
      </c>
      <c r="BY57" s="66">
        <f t="shared" si="124"/>
        <v>0</v>
      </c>
      <c r="BZ57" s="66">
        <f t="shared" si="125"/>
        <v>0</v>
      </c>
      <c r="CA57" s="66"/>
      <c r="CB57" s="66">
        <f t="shared" si="126"/>
        <v>0</v>
      </c>
      <c r="CC57" s="22">
        <f t="shared" si="92"/>
        <v>2.1786875000000001E-2</v>
      </c>
      <c r="CD57" s="66">
        <f t="shared" si="127"/>
        <v>871475</v>
      </c>
      <c r="CE57" s="66"/>
      <c r="CF57" s="66"/>
      <c r="CG57" s="66"/>
      <c r="CH57" s="66"/>
      <c r="CI57" s="66"/>
      <c r="CJ57" s="66"/>
      <c r="CK57" s="66"/>
      <c r="CL57" s="66"/>
      <c r="CM57" s="66"/>
      <c r="CN57" s="66"/>
      <c r="CO57" s="66"/>
      <c r="CP57" s="66"/>
      <c r="CQ57" s="66"/>
      <c r="CR57" s="66"/>
      <c r="CS57" s="66"/>
      <c r="CT57" s="66"/>
      <c r="CU57" s="66"/>
      <c r="CV57" s="66"/>
      <c r="CW57" s="66">
        <f>+'[2]SEPTIEMBRE 2019'!$H$1984</f>
        <v>871475</v>
      </c>
      <c r="CX57" s="66"/>
      <c r="CY57" s="66"/>
      <c r="CZ57" s="66"/>
      <c r="DA57" s="66"/>
      <c r="DB57" s="22">
        <f t="shared" si="93"/>
        <v>0.97821312500000002</v>
      </c>
      <c r="DC57" s="66">
        <f t="shared" si="128"/>
        <v>39128525</v>
      </c>
      <c r="DD57" s="66">
        <f t="shared" si="129"/>
        <v>0</v>
      </c>
      <c r="DE57" s="66">
        <f t="shared" si="130"/>
        <v>0</v>
      </c>
      <c r="DF57" s="66">
        <f t="shared" si="131"/>
        <v>0</v>
      </c>
      <c r="DG57" s="66">
        <f t="shared" si="132"/>
        <v>0</v>
      </c>
      <c r="DH57" s="66">
        <f t="shared" si="133"/>
        <v>0</v>
      </c>
      <c r="DI57" s="66">
        <f t="shared" si="134"/>
        <v>0</v>
      </c>
      <c r="DJ57" s="66">
        <f t="shared" si="135"/>
        <v>0</v>
      </c>
      <c r="DK57" s="66">
        <f t="shared" si="136"/>
        <v>0</v>
      </c>
      <c r="DL57" s="66">
        <f t="shared" si="137"/>
        <v>0</v>
      </c>
      <c r="DM57" s="66">
        <f t="shared" si="138"/>
        <v>0</v>
      </c>
      <c r="DN57" s="66">
        <f t="shared" si="139"/>
        <v>0</v>
      </c>
      <c r="DO57" s="66">
        <f t="shared" si="140"/>
        <v>0</v>
      </c>
      <c r="DP57" s="66">
        <f t="shared" si="141"/>
        <v>0</v>
      </c>
      <c r="DQ57" s="66">
        <f t="shared" si="142"/>
        <v>0</v>
      </c>
      <c r="DR57" s="66">
        <f t="shared" si="143"/>
        <v>0</v>
      </c>
      <c r="DS57" s="66">
        <f t="shared" si="144"/>
        <v>0</v>
      </c>
      <c r="DT57" s="66">
        <f t="shared" si="145"/>
        <v>0</v>
      </c>
      <c r="DU57" s="66">
        <f t="shared" si="146"/>
        <v>0</v>
      </c>
      <c r="DV57" s="66">
        <f t="shared" si="147"/>
        <v>39128525</v>
      </c>
      <c r="DW57" s="66">
        <f t="shared" si="148"/>
        <v>0</v>
      </c>
      <c r="DX57" s="66">
        <f t="shared" si="149"/>
        <v>0</v>
      </c>
      <c r="DY57" s="66"/>
      <c r="DZ57" s="66">
        <f t="shared" si="150"/>
        <v>0</v>
      </c>
      <c r="EB57" s="9">
        <f t="shared" si="94"/>
        <v>40000000</v>
      </c>
      <c r="EC57" s="9">
        <f t="shared" si="95"/>
        <v>40000000</v>
      </c>
      <c r="ED57" s="9">
        <f t="shared" si="96"/>
        <v>40000000</v>
      </c>
    </row>
    <row r="58" spans="1:134" ht="33.75" customHeight="1" x14ac:dyDescent="0.3">
      <c r="A58" s="128"/>
      <c r="B58" s="122"/>
      <c r="C58" s="121" t="s">
        <v>238</v>
      </c>
      <c r="D58" s="69" t="s">
        <v>237</v>
      </c>
      <c r="E58" s="87">
        <v>410</v>
      </c>
      <c r="F58" s="127" t="s">
        <v>127</v>
      </c>
      <c r="G58" s="66">
        <f t="shared" si="102"/>
        <v>0</v>
      </c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22" t="e">
        <f t="shared" si="90"/>
        <v>#DIV/0!</v>
      </c>
      <c r="AF58" s="66">
        <f t="shared" si="103"/>
        <v>0</v>
      </c>
      <c r="AG58" s="66"/>
      <c r="AH58" s="66"/>
      <c r="AI58" s="66"/>
      <c r="AJ58" s="66"/>
      <c r="AK58" s="66"/>
      <c r="AL58" s="66"/>
      <c r="AM58" s="66"/>
      <c r="AN58" s="66"/>
      <c r="AO58" s="66"/>
      <c r="AP58" s="66"/>
      <c r="AQ58" s="66"/>
      <c r="AR58" s="66"/>
      <c r="AS58" s="66"/>
      <c r="AT58" s="66"/>
      <c r="AU58" s="66"/>
      <c r="AV58" s="66"/>
      <c r="AW58" s="66"/>
      <c r="AX58" s="66"/>
      <c r="AY58" s="66"/>
      <c r="AZ58" s="66"/>
      <c r="BA58" s="66"/>
      <c r="BB58" s="66"/>
      <c r="BC58" s="66"/>
      <c r="BD58" s="22" t="e">
        <f t="shared" si="91"/>
        <v>#DIV/0!</v>
      </c>
      <c r="BE58" s="66">
        <f t="shared" si="104"/>
        <v>0</v>
      </c>
      <c r="BF58" s="66">
        <f t="shared" si="105"/>
        <v>0</v>
      </c>
      <c r="BG58" s="66">
        <f t="shared" si="106"/>
        <v>0</v>
      </c>
      <c r="BH58" s="66">
        <f t="shared" si="107"/>
        <v>0</v>
      </c>
      <c r="BI58" s="66">
        <f t="shared" si="108"/>
        <v>0</v>
      </c>
      <c r="BJ58" s="66">
        <f t="shared" si="109"/>
        <v>0</v>
      </c>
      <c r="BK58" s="66">
        <f t="shared" si="110"/>
        <v>0</v>
      </c>
      <c r="BL58" s="66">
        <f t="shared" si="111"/>
        <v>0</v>
      </c>
      <c r="BM58" s="66">
        <f t="shared" si="112"/>
        <v>0</v>
      </c>
      <c r="BN58" s="66">
        <f t="shared" si="113"/>
        <v>0</v>
      </c>
      <c r="BO58" s="66">
        <f t="shared" si="114"/>
        <v>0</v>
      </c>
      <c r="BP58" s="66">
        <f t="shared" si="115"/>
        <v>0</v>
      </c>
      <c r="BQ58" s="66">
        <f t="shared" si="116"/>
        <v>0</v>
      </c>
      <c r="BR58" s="66">
        <f t="shared" si="117"/>
        <v>0</v>
      </c>
      <c r="BS58" s="66">
        <f t="shared" si="118"/>
        <v>0</v>
      </c>
      <c r="BT58" s="66">
        <f t="shared" si="119"/>
        <v>0</v>
      </c>
      <c r="BU58" s="66">
        <f t="shared" si="120"/>
        <v>0</v>
      </c>
      <c r="BV58" s="66">
        <f t="shared" si="121"/>
        <v>0</v>
      </c>
      <c r="BW58" s="66">
        <f t="shared" si="122"/>
        <v>0</v>
      </c>
      <c r="BX58" s="66">
        <f t="shared" si="123"/>
        <v>0</v>
      </c>
      <c r="BY58" s="66">
        <f t="shared" si="124"/>
        <v>0</v>
      </c>
      <c r="BZ58" s="66">
        <f t="shared" si="125"/>
        <v>0</v>
      </c>
      <c r="CA58" s="66"/>
      <c r="CB58" s="66">
        <f t="shared" si="126"/>
        <v>0</v>
      </c>
      <c r="CC58" s="22" t="e">
        <f t="shared" si="92"/>
        <v>#DIV/0!</v>
      </c>
      <c r="CD58" s="66">
        <f t="shared" si="127"/>
        <v>0</v>
      </c>
      <c r="CE58" s="66"/>
      <c r="CF58" s="66"/>
      <c r="CG58" s="66"/>
      <c r="CH58" s="66"/>
      <c r="CI58" s="66"/>
      <c r="CJ58" s="66"/>
      <c r="CK58" s="66"/>
      <c r="CL58" s="66"/>
      <c r="CM58" s="66"/>
      <c r="CN58" s="66"/>
      <c r="CO58" s="66"/>
      <c r="CP58" s="66"/>
      <c r="CQ58" s="66"/>
      <c r="CR58" s="66"/>
      <c r="CS58" s="66"/>
      <c r="CT58" s="66"/>
      <c r="CU58" s="66"/>
      <c r="CV58" s="66"/>
      <c r="CW58" s="66"/>
      <c r="CX58" s="66"/>
      <c r="CY58" s="66"/>
      <c r="CZ58" s="66"/>
      <c r="DA58" s="66"/>
      <c r="DB58" s="22" t="e">
        <f t="shared" si="93"/>
        <v>#DIV/0!</v>
      </c>
      <c r="DC58" s="66">
        <f t="shared" si="128"/>
        <v>0</v>
      </c>
      <c r="DD58" s="66">
        <f t="shared" si="129"/>
        <v>0</v>
      </c>
      <c r="DE58" s="66">
        <f t="shared" si="130"/>
        <v>0</v>
      </c>
      <c r="DF58" s="66">
        <f t="shared" si="131"/>
        <v>0</v>
      </c>
      <c r="DG58" s="66">
        <f t="shared" si="132"/>
        <v>0</v>
      </c>
      <c r="DH58" s="66">
        <f t="shared" si="133"/>
        <v>0</v>
      </c>
      <c r="DI58" s="66">
        <f t="shared" si="134"/>
        <v>0</v>
      </c>
      <c r="DJ58" s="66">
        <f t="shared" si="135"/>
        <v>0</v>
      </c>
      <c r="DK58" s="66">
        <f t="shared" si="136"/>
        <v>0</v>
      </c>
      <c r="DL58" s="66">
        <f t="shared" si="137"/>
        <v>0</v>
      </c>
      <c r="DM58" s="66">
        <f t="shared" si="138"/>
        <v>0</v>
      </c>
      <c r="DN58" s="66">
        <f t="shared" si="139"/>
        <v>0</v>
      </c>
      <c r="DO58" s="66">
        <f t="shared" si="140"/>
        <v>0</v>
      </c>
      <c r="DP58" s="66">
        <f t="shared" si="141"/>
        <v>0</v>
      </c>
      <c r="DQ58" s="66">
        <f t="shared" si="142"/>
        <v>0</v>
      </c>
      <c r="DR58" s="66">
        <f t="shared" si="143"/>
        <v>0</v>
      </c>
      <c r="DS58" s="66">
        <f t="shared" si="144"/>
        <v>0</v>
      </c>
      <c r="DT58" s="66">
        <f t="shared" si="145"/>
        <v>0</v>
      </c>
      <c r="DU58" s="66">
        <f t="shared" si="146"/>
        <v>0</v>
      </c>
      <c r="DV58" s="66">
        <f t="shared" si="147"/>
        <v>0</v>
      </c>
      <c r="DW58" s="66">
        <f t="shared" si="148"/>
        <v>0</v>
      </c>
      <c r="DX58" s="66">
        <f t="shared" si="149"/>
        <v>0</v>
      </c>
      <c r="DY58" s="66"/>
      <c r="DZ58" s="66">
        <f t="shared" si="150"/>
        <v>0</v>
      </c>
      <c r="EB58" s="9">
        <f t="shared" si="94"/>
        <v>0</v>
      </c>
      <c r="EC58" s="9">
        <f t="shared" si="95"/>
        <v>0</v>
      </c>
      <c r="ED58" s="9">
        <f t="shared" si="96"/>
        <v>0</v>
      </c>
    </row>
    <row r="59" spans="1:134" ht="28.8" customHeight="1" x14ac:dyDescent="0.3">
      <c r="A59" s="207" t="s">
        <v>236</v>
      </c>
      <c r="B59" s="219" t="s">
        <v>235</v>
      </c>
      <c r="C59" s="70" t="s">
        <v>234</v>
      </c>
      <c r="D59" s="69" t="s">
        <v>233</v>
      </c>
      <c r="E59" s="108">
        <v>410</v>
      </c>
      <c r="F59" s="127" t="s">
        <v>127</v>
      </c>
      <c r="G59" s="66">
        <f t="shared" si="102"/>
        <v>95000000</v>
      </c>
      <c r="H59" s="66"/>
      <c r="I59" s="66"/>
      <c r="J59" s="66"/>
      <c r="K59" s="66"/>
      <c r="L59" s="66"/>
      <c r="M59" s="66"/>
      <c r="N59" s="66"/>
      <c r="O59" s="66">
        <f>45000000+25000000</f>
        <v>70000000</v>
      </c>
      <c r="P59" s="66"/>
      <c r="Q59" s="66"/>
      <c r="R59" s="66">
        <v>10000000</v>
      </c>
      <c r="S59" s="66"/>
      <c r="T59" s="66">
        <v>5000000</v>
      </c>
      <c r="U59" s="66">
        <v>10000000</v>
      </c>
      <c r="V59" s="66"/>
      <c r="W59" s="66"/>
      <c r="X59" s="66"/>
      <c r="Y59" s="66"/>
      <c r="Z59" s="66"/>
      <c r="AA59" s="66"/>
      <c r="AB59" s="66"/>
      <c r="AC59" s="66"/>
      <c r="AD59" s="66"/>
      <c r="AE59" s="126">
        <f t="shared" si="90"/>
        <v>0.10346736842105263</v>
      </c>
      <c r="AF59" s="66">
        <f t="shared" si="103"/>
        <v>9829400</v>
      </c>
      <c r="AG59" s="66"/>
      <c r="AH59" s="66"/>
      <c r="AI59" s="66"/>
      <c r="AJ59" s="66"/>
      <c r="AK59" s="66"/>
      <c r="AL59" s="66"/>
      <c r="AM59" s="66"/>
      <c r="AN59" s="66">
        <f>+'[1]OCTUBRE 2019'!$Q$2242</f>
        <v>9829400</v>
      </c>
      <c r="AO59" s="66"/>
      <c r="AP59" s="66"/>
      <c r="AQ59" s="66"/>
      <c r="AR59" s="66"/>
      <c r="AS59" s="66"/>
      <c r="AT59" s="66"/>
      <c r="AU59" s="66"/>
      <c r="AV59" s="66"/>
      <c r="AW59" s="66"/>
      <c r="AX59" s="66"/>
      <c r="AY59" s="66"/>
      <c r="AZ59" s="66"/>
      <c r="BA59" s="66"/>
      <c r="BB59" s="66"/>
      <c r="BC59" s="66"/>
      <c r="BD59" s="22">
        <f t="shared" si="91"/>
        <v>0.89653263157894736</v>
      </c>
      <c r="BE59" s="66">
        <f t="shared" si="104"/>
        <v>85170600</v>
      </c>
      <c r="BF59" s="66">
        <f t="shared" si="105"/>
        <v>0</v>
      </c>
      <c r="BG59" s="66">
        <f t="shared" si="106"/>
        <v>0</v>
      </c>
      <c r="BH59" s="66">
        <f t="shared" si="107"/>
        <v>0</v>
      </c>
      <c r="BI59" s="66">
        <f t="shared" si="108"/>
        <v>0</v>
      </c>
      <c r="BJ59" s="66">
        <f t="shared" si="109"/>
        <v>0</v>
      </c>
      <c r="BK59" s="66">
        <f t="shared" si="110"/>
        <v>0</v>
      </c>
      <c r="BL59" s="66">
        <f t="shared" si="111"/>
        <v>0</v>
      </c>
      <c r="BM59" s="66">
        <f t="shared" si="112"/>
        <v>60170600</v>
      </c>
      <c r="BN59" s="66">
        <f t="shared" si="113"/>
        <v>0</v>
      </c>
      <c r="BO59" s="66">
        <f t="shared" si="114"/>
        <v>0</v>
      </c>
      <c r="BP59" s="66">
        <f t="shared" si="115"/>
        <v>10000000</v>
      </c>
      <c r="BQ59" s="66">
        <f t="shared" si="116"/>
        <v>0</v>
      </c>
      <c r="BR59" s="66">
        <f t="shared" si="117"/>
        <v>5000000</v>
      </c>
      <c r="BS59" s="66">
        <f t="shared" si="118"/>
        <v>10000000</v>
      </c>
      <c r="BT59" s="66">
        <f t="shared" si="119"/>
        <v>0</v>
      </c>
      <c r="BU59" s="66">
        <f t="shared" si="120"/>
        <v>0</v>
      </c>
      <c r="BV59" s="66">
        <f t="shared" si="121"/>
        <v>0</v>
      </c>
      <c r="BW59" s="66">
        <f t="shared" si="122"/>
        <v>0</v>
      </c>
      <c r="BX59" s="66">
        <f t="shared" si="123"/>
        <v>0</v>
      </c>
      <c r="BY59" s="66">
        <f t="shared" si="124"/>
        <v>0</v>
      </c>
      <c r="BZ59" s="66">
        <f t="shared" si="125"/>
        <v>0</v>
      </c>
      <c r="CA59" s="66"/>
      <c r="CB59" s="66">
        <f t="shared" si="126"/>
        <v>0</v>
      </c>
      <c r="CC59" s="22">
        <f t="shared" si="92"/>
        <v>7.1888421052631574E-2</v>
      </c>
      <c r="CD59" s="66">
        <f t="shared" si="127"/>
        <v>6829400</v>
      </c>
      <c r="CE59" s="66"/>
      <c r="CF59" s="66"/>
      <c r="CG59" s="66"/>
      <c r="CH59" s="66"/>
      <c r="CI59" s="66"/>
      <c r="CJ59" s="66"/>
      <c r="CK59" s="66"/>
      <c r="CL59" s="66">
        <f>+'[1]OCTUBRE 2019'!$H$2240</f>
        <v>6829400</v>
      </c>
      <c r="CM59" s="66"/>
      <c r="CN59" s="66"/>
      <c r="CO59" s="66"/>
      <c r="CP59" s="66"/>
      <c r="CQ59" s="66"/>
      <c r="CR59" s="66"/>
      <c r="CS59" s="66"/>
      <c r="CT59" s="66"/>
      <c r="CU59" s="66"/>
      <c r="CV59" s="66"/>
      <c r="CW59" s="66"/>
      <c r="CX59" s="66"/>
      <c r="CY59" s="66"/>
      <c r="CZ59" s="66"/>
      <c r="DA59" s="66"/>
      <c r="DB59" s="22">
        <f t="shared" si="93"/>
        <v>0.9281115789473684</v>
      </c>
      <c r="DC59" s="66">
        <f t="shared" si="128"/>
        <v>88170600</v>
      </c>
      <c r="DD59" s="66">
        <f t="shared" si="129"/>
        <v>0</v>
      </c>
      <c r="DE59" s="66">
        <f t="shared" si="130"/>
        <v>0</v>
      </c>
      <c r="DF59" s="66">
        <f t="shared" si="131"/>
        <v>0</v>
      </c>
      <c r="DG59" s="66">
        <f t="shared" si="132"/>
        <v>0</v>
      </c>
      <c r="DH59" s="66">
        <f t="shared" si="133"/>
        <v>0</v>
      </c>
      <c r="DI59" s="66">
        <f t="shared" si="134"/>
        <v>0</v>
      </c>
      <c r="DJ59" s="66">
        <f t="shared" si="135"/>
        <v>0</v>
      </c>
      <c r="DK59" s="66">
        <f t="shared" si="136"/>
        <v>63170600</v>
      </c>
      <c r="DL59" s="66">
        <f t="shared" si="137"/>
        <v>0</v>
      </c>
      <c r="DM59" s="66">
        <f t="shared" si="138"/>
        <v>0</v>
      </c>
      <c r="DN59" s="66">
        <f t="shared" si="139"/>
        <v>10000000</v>
      </c>
      <c r="DO59" s="66">
        <f t="shared" si="140"/>
        <v>0</v>
      </c>
      <c r="DP59" s="66">
        <f t="shared" si="141"/>
        <v>5000000</v>
      </c>
      <c r="DQ59" s="66">
        <f t="shared" si="142"/>
        <v>10000000</v>
      </c>
      <c r="DR59" s="66">
        <f t="shared" si="143"/>
        <v>0</v>
      </c>
      <c r="DS59" s="66">
        <f t="shared" si="144"/>
        <v>0</v>
      </c>
      <c r="DT59" s="66">
        <f t="shared" si="145"/>
        <v>0</v>
      </c>
      <c r="DU59" s="66">
        <f t="shared" si="146"/>
        <v>0</v>
      </c>
      <c r="DV59" s="66">
        <f t="shared" si="147"/>
        <v>0</v>
      </c>
      <c r="DW59" s="66">
        <f t="shared" si="148"/>
        <v>0</v>
      </c>
      <c r="DX59" s="66">
        <f t="shared" si="149"/>
        <v>0</v>
      </c>
      <c r="DY59" s="66"/>
      <c r="DZ59" s="66">
        <f t="shared" si="150"/>
        <v>0</v>
      </c>
      <c r="EB59" s="9">
        <f t="shared" si="94"/>
        <v>95000000</v>
      </c>
      <c r="EC59" s="9">
        <f t="shared" si="95"/>
        <v>95000000</v>
      </c>
      <c r="ED59" s="9">
        <f t="shared" si="96"/>
        <v>95000000</v>
      </c>
    </row>
    <row r="60" spans="1:134" ht="28.8" customHeight="1" x14ac:dyDescent="0.3">
      <c r="A60" s="207"/>
      <c r="B60" s="234"/>
      <c r="C60" s="121" t="s">
        <v>232</v>
      </c>
      <c r="D60" s="69" t="s">
        <v>231</v>
      </c>
      <c r="E60" s="87">
        <v>410</v>
      </c>
      <c r="F60" s="67" t="s">
        <v>230</v>
      </c>
      <c r="G60" s="66">
        <f t="shared" si="102"/>
        <v>261502304</v>
      </c>
      <c r="H60" s="66"/>
      <c r="I60" s="66"/>
      <c r="J60" s="66"/>
      <c r="K60" s="66"/>
      <c r="L60" s="66"/>
      <c r="M60" s="66"/>
      <c r="N60" s="66"/>
      <c r="O60" s="66">
        <v>150000000</v>
      </c>
      <c r="P60" s="66"/>
      <c r="Q60" s="66"/>
      <c r="R60" s="66">
        <v>30000000</v>
      </c>
      <c r="S60" s="66"/>
      <c r="T60" s="66">
        <v>20000000</v>
      </c>
      <c r="U60" s="66">
        <f>30000000+10000000</f>
        <v>40000000</v>
      </c>
      <c r="V60" s="66"/>
      <c r="W60" s="66"/>
      <c r="X60" s="66"/>
      <c r="Y60" s="66"/>
      <c r="Z60" s="66"/>
      <c r="AA60" s="66"/>
      <c r="AB60" s="66"/>
      <c r="AC60" s="66"/>
      <c r="AD60" s="66">
        <f>21502304</f>
        <v>21502304</v>
      </c>
      <c r="AE60" s="22">
        <f t="shared" si="90"/>
        <v>0.37785790981023248</v>
      </c>
      <c r="AF60" s="66">
        <f t="shared" si="103"/>
        <v>98810714</v>
      </c>
      <c r="AG60" s="66"/>
      <c r="AH60" s="66"/>
      <c r="AI60" s="66"/>
      <c r="AJ60" s="66"/>
      <c r="AK60" s="66"/>
      <c r="AL60" s="66"/>
      <c r="AM60" s="66"/>
      <c r="AN60" s="66">
        <f>+'[1]OCTUBRE 2019'!$Q$2256</f>
        <v>74563730</v>
      </c>
      <c r="AO60" s="66"/>
      <c r="AP60" s="66"/>
      <c r="AQ60" s="66">
        <f>+'[1]OCTUBRE 2019'!$T$2256</f>
        <v>5005939</v>
      </c>
      <c r="AR60" s="66"/>
      <c r="AS60" s="66"/>
      <c r="AT60" s="66">
        <f>+'[2]SEPTIEMBRE 2019'!$W$2011</f>
        <v>7911500</v>
      </c>
      <c r="AU60" s="66"/>
      <c r="AV60" s="66"/>
      <c r="AW60" s="66"/>
      <c r="AX60" s="66"/>
      <c r="AY60" s="66"/>
      <c r="AZ60" s="66"/>
      <c r="BA60" s="66"/>
      <c r="BB60" s="66"/>
      <c r="BC60" s="66">
        <f>+'[1]OCTUBRE 2019'!$AG$2256</f>
        <v>11329545</v>
      </c>
      <c r="BD60" s="22">
        <f t="shared" si="91"/>
        <v>0.62214209018976752</v>
      </c>
      <c r="BE60" s="66">
        <f t="shared" si="104"/>
        <v>162691590</v>
      </c>
      <c r="BF60" s="66">
        <f t="shared" si="105"/>
        <v>0</v>
      </c>
      <c r="BG60" s="66">
        <f t="shared" si="106"/>
        <v>0</v>
      </c>
      <c r="BH60" s="66">
        <f t="shared" si="107"/>
        <v>0</v>
      </c>
      <c r="BI60" s="66">
        <f t="shared" si="108"/>
        <v>0</v>
      </c>
      <c r="BJ60" s="66">
        <f t="shared" si="109"/>
        <v>0</v>
      </c>
      <c r="BK60" s="66">
        <f t="shared" si="110"/>
        <v>0</v>
      </c>
      <c r="BL60" s="66">
        <f t="shared" si="111"/>
        <v>0</v>
      </c>
      <c r="BM60" s="66">
        <f t="shared" si="112"/>
        <v>75436270</v>
      </c>
      <c r="BN60" s="66">
        <f t="shared" si="113"/>
        <v>0</v>
      </c>
      <c r="BO60" s="66">
        <f t="shared" si="114"/>
        <v>0</v>
      </c>
      <c r="BP60" s="66">
        <f t="shared" si="115"/>
        <v>24994061</v>
      </c>
      <c r="BQ60" s="66">
        <f t="shared" si="116"/>
        <v>0</v>
      </c>
      <c r="BR60" s="66">
        <f t="shared" si="117"/>
        <v>20000000</v>
      </c>
      <c r="BS60" s="66">
        <f t="shared" si="118"/>
        <v>32088500</v>
      </c>
      <c r="BT60" s="66">
        <f t="shared" si="119"/>
        <v>0</v>
      </c>
      <c r="BU60" s="66">
        <f t="shared" si="120"/>
        <v>0</v>
      </c>
      <c r="BV60" s="66">
        <f t="shared" si="121"/>
        <v>0</v>
      </c>
      <c r="BW60" s="66">
        <f t="shared" si="122"/>
        <v>0</v>
      </c>
      <c r="BX60" s="66">
        <f t="shared" si="123"/>
        <v>0</v>
      </c>
      <c r="BY60" s="66">
        <f t="shared" si="124"/>
        <v>0</v>
      </c>
      <c r="BZ60" s="66">
        <f t="shared" si="125"/>
        <v>0</v>
      </c>
      <c r="CA60" s="66"/>
      <c r="CB60" s="66">
        <f t="shared" si="126"/>
        <v>10172759</v>
      </c>
      <c r="CC60" s="22">
        <f t="shared" si="92"/>
        <v>0.33439659101435681</v>
      </c>
      <c r="CD60" s="66">
        <f t="shared" si="127"/>
        <v>87445479</v>
      </c>
      <c r="CE60" s="66"/>
      <c r="CF60" s="66"/>
      <c r="CG60" s="66"/>
      <c r="CH60" s="66"/>
      <c r="CI60" s="66"/>
      <c r="CJ60" s="66"/>
      <c r="CK60" s="66"/>
      <c r="CL60" s="66">
        <f>+'[1]OCTUBRE 2019'!$H$2254-CO60-CR60-DA60</f>
        <v>63563728</v>
      </c>
      <c r="CM60" s="66"/>
      <c r="CN60" s="66"/>
      <c r="CO60" s="66">
        <f>+'[1]OCTUBRE 2019'!$H$2261+'[1]OCTUBRE 2019'!$H$2267+'[1]OCTUBRE 2019'!$H$2291+'[1]OCTUBRE 2019'!$H$2297+'[1]OCTUBRE 2019'!$H$2310+'[1]OCTUBRE 2019'!$H$2325</f>
        <v>4865259</v>
      </c>
      <c r="CP60" s="66"/>
      <c r="CQ60" s="66"/>
      <c r="CR60" s="66">
        <f>+'[1]OCTUBRE 2019'!$H$2266+'[1]OCTUBRE 2019'!$H$2269+'[1]OCTUBRE 2019'!$H$2273+'[1]OCTUBRE 2019'!$H$2276+'[1]OCTUBRE 2019'!$H$2278+'[1]OCTUBRE 2019'!$H$2307</f>
        <v>7686947</v>
      </c>
      <c r="CS60" s="66"/>
      <c r="CT60" s="66"/>
      <c r="CU60" s="66"/>
      <c r="CV60" s="66"/>
      <c r="CW60" s="66"/>
      <c r="CX60" s="66"/>
      <c r="CY60" s="66"/>
      <c r="CZ60" s="66"/>
      <c r="DA60" s="66">
        <f>+'[1]OCTUBRE 2019'!$H$2300+'[1]OCTUBRE 2019'!$H$2314+'[1]OCTUBRE 2019'!$H$2315+'[1]OCTUBRE 2019'!$H$2323+'[1]OCTUBRE 2019'!$H$2324</f>
        <v>11329545</v>
      </c>
      <c r="DB60" s="22">
        <f t="shared" si="93"/>
        <v>0.66560340898564319</v>
      </c>
      <c r="DC60" s="66">
        <f t="shared" si="128"/>
        <v>174056825</v>
      </c>
      <c r="DD60" s="66">
        <f t="shared" si="129"/>
        <v>0</v>
      </c>
      <c r="DE60" s="66">
        <f t="shared" si="130"/>
        <v>0</v>
      </c>
      <c r="DF60" s="66">
        <f t="shared" si="131"/>
        <v>0</v>
      </c>
      <c r="DG60" s="66">
        <f t="shared" si="132"/>
        <v>0</v>
      </c>
      <c r="DH60" s="66">
        <f t="shared" si="133"/>
        <v>0</v>
      </c>
      <c r="DI60" s="66">
        <f t="shared" si="134"/>
        <v>0</v>
      </c>
      <c r="DJ60" s="66">
        <f t="shared" si="135"/>
        <v>0</v>
      </c>
      <c r="DK60" s="66">
        <f t="shared" si="136"/>
        <v>86436272</v>
      </c>
      <c r="DL60" s="66">
        <f t="shared" si="137"/>
        <v>0</v>
      </c>
      <c r="DM60" s="66">
        <f t="shared" si="138"/>
        <v>0</v>
      </c>
      <c r="DN60" s="66">
        <f t="shared" si="139"/>
        <v>25134741</v>
      </c>
      <c r="DO60" s="66">
        <f t="shared" si="140"/>
        <v>0</v>
      </c>
      <c r="DP60" s="66">
        <f t="shared" si="141"/>
        <v>20000000</v>
      </c>
      <c r="DQ60" s="66">
        <f t="shared" si="142"/>
        <v>32313053</v>
      </c>
      <c r="DR60" s="66">
        <f t="shared" si="143"/>
        <v>0</v>
      </c>
      <c r="DS60" s="66">
        <f t="shared" si="144"/>
        <v>0</v>
      </c>
      <c r="DT60" s="66">
        <f t="shared" si="145"/>
        <v>0</v>
      </c>
      <c r="DU60" s="66">
        <f t="shared" si="146"/>
        <v>0</v>
      </c>
      <c r="DV60" s="66">
        <f t="shared" si="147"/>
        <v>0</v>
      </c>
      <c r="DW60" s="66">
        <f t="shared" si="148"/>
        <v>0</v>
      </c>
      <c r="DX60" s="66">
        <f t="shared" si="149"/>
        <v>0</v>
      </c>
      <c r="DY60" s="66"/>
      <c r="DZ60" s="66">
        <f t="shared" si="150"/>
        <v>10172759</v>
      </c>
      <c r="EB60" s="9">
        <f t="shared" si="94"/>
        <v>261502304</v>
      </c>
      <c r="EC60" s="9">
        <f t="shared" si="95"/>
        <v>261502304</v>
      </c>
      <c r="ED60" s="9">
        <f t="shared" si="96"/>
        <v>261502304</v>
      </c>
    </row>
    <row r="61" spans="1:134" ht="29.4" customHeight="1" x14ac:dyDescent="0.3">
      <c r="A61" s="207"/>
      <c r="B61" s="234"/>
      <c r="C61" s="121" t="s">
        <v>229</v>
      </c>
      <c r="D61" s="69" t="s">
        <v>228</v>
      </c>
      <c r="E61" s="87">
        <v>410</v>
      </c>
      <c r="F61" s="67" t="s">
        <v>227</v>
      </c>
      <c r="G61" s="66">
        <f t="shared" si="102"/>
        <v>150000000</v>
      </c>
      <c r="H61" s="66"/>
      <c r="I61" s="66"/>
      <c r="J61" s="66"/>
      <c r="K61" s="66"/>
      <c r="L61" s="66"/>
      <c r="M61" s="66"/>
      <c r="N61" s="66"/>
      <c r="O61" s="66">
        <v>50000000</v>
      </c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>
        <v>100000000</v>
      </c>
      <c r="AA61" s="66"/>
      <c r="AB61" s="66"/>
      <c r="AC61" s="66"/>
      <c r="AD61" s="66">
        <f>15000000-15000000</f>
        <v>0</v>
      </c>
      <c r="AE61" s="22">
        <f t="shared" si="90"/>
        <v>1</v>
      </c>
      <c r="AF61" s="66">
        <f t="shared" si="103"/>
        <v>150000000</v>
      </c>
      <c r="AG61" s="66"/>
      <c r="AH61" s="66"/>
      <c r="AI61" s="66"/>
      <c r="AJ61" s="66"/>
      <c r="AK61" s="66"/>
      <c r="AL61" s="66"/>
      <c r="AM61" s="66"/>
      <c r="AN61" s="66">
        <f>+'[6]MAYO 2019'!$P$1080</f>
        <v>50000000</v>
      </c>
      <c r="AO61" s="66"/>
      <c r="AP61" s="66"/>
      <c r="AQ61" s="66"/>
      <c r="AR61" s="66"/>
      <c r="AS61" s="66"/>
      <c r="AT61" s="66"/>
      <c r="AU61" s="66"/>
      <c r="AV61" s="66"/>
      <c r="AW61" s="66"/>
      <c r="AX61" s="66"/>
      <c r="AY61" s="66">
        <f>+'[6]MAYO 2019'!$AA$1080</f>
        <v>100000000</v>
      </c>
      <c r="AZ61" s="66"/>
      <c r="BA61" s="66"/>
      <c r="BB61" s="66"/>
      <c r="BC61" s="66"/>
      <c r="BD61" s="22">
        <f t="shared" si="91"/>
        <v>0</v>
      </c>
      <c r="BE61" s="66">
        <f t="shared" si="104"/>
        <v>0</v>
      </c>
      <c r="BF61" s="66">
        <f t="shared" si="105"/>
        <v>0</v>
      </c>
      <c r="BG61" s="66">
        <f t="shared" si="106"/>
        <v>0</v>
      </c>
      <c r="BH61" s="66">
        <f t="shared" si="107"/>
        <v>0</v>
      </c>
      <c r="BI61" s="66">
        <f t="shared" si="108"/>
        <v>0</v>
      </c>
      <c r="BJ61" s="66">
        <f t="shared" si="109"/>
        <v>0</v>
      </c>
      <c r="BK61" s="66">
        <f t="shared" si="110"/>
        <v>0</v>
      </c>
      <c r="BL61" s="66">
        <f t="shared" si="111"/>
        <v>0</v>
      </c>
      <c r="BM61" s="66">
        <f t="shared" si="112"/>
        <v>0</v>
      </c>
      <c r="BN61" s="66">
        <f t="shared" si="113"/>
        <v>0</v>
      </c>
      <c r="BO61" s="66">
        <f t="shared" si="114"/>
        <v>0</v>
      </c>
      <c r="BP61" s="66">
        <f t="shared" si="115"/>
        <v>0</v>
      </c>
      <c r="BQ61" s="66">
        <f t="shared" si="116"/>
        <v>0</v>
      </c>
      <c r="BR61" s="66">
        <f t="shared" si="117"/>
        <v>0</v>
      </c>
      <c r="BS61" s="66">
        <f t="shared" si="118"/>
        <v>0</v>
      </c>
      <c r="BT61" s="66">
        <f t="shared" si="119"/>
        <v>0</v>
      </c>
      <c r="BU61" s="66">
        <f t="shared" si="120"/>
        <v>0</v>
      </c>
      <c r="BV61" s="66">
        <f t="shared" si="121"/>
        <v>0</v>
      </c>
      <c r="BW61" s="66">
        <f t="shared" si="122"/>
        <v>0</v>
      </c>
      <c r="BX61" s="66">
        <f t="shared" si="123"/>
        <v>0</v>
      </c>
      <c r="BY61" s="66">
        <f t="shared" si="124"/>
        <v>0</v>
      </c>
      <c r="BZ61" s="66">
        <f t="shared" si="125"/>
        <v>0</v>
      </c>
      <c r="CA61" s="66"/>
      <c r="CB61" s="66">
        <f t="shared" si="126"/>
        <v>0</v>
      </c>
      <c r="CC61" s="22">
        <f t="shared" si="92"/>
        <v>0.67388324666666666</v>
      </c>
      <c r="CD61" s="66">
        <f t="shared" si="127"/>
        <v>101082487</v>
      </c>
      <c r="CE61" s="66"/>
      <c r="CF61" s="66"/>
      <c r="CG61" s="66"/>
      <c r="CH61" s="66"/>
      <c r="CI61" s="66"/>
      <c r="CJ61" s="66"/>
      <c r="CK61" s="66"/>
      <c r="CL61" s="66">
        <f>+'[11]JULIO 2019'!$H$1557</f>
        <v>31999995</v>
      </c>
      <c r="CM61" s="66"/>
      <c r="CN61" s="66"/>
      <c r="CO61" s="66"/>
      <c r="CP61" s="66"/>
      <c r="CQ61" s="66"/>
      <c r="CR61" s="66"/>
      <c r="CS61" s="66"/>
      <c r="CT61" s="66"/>
      <c r="CU61" s="66"/>
      <c r="CV61" s="66"/>
      <c r="CW61" s="66">
        <f>+'[11]JULIO 2019'!$H$1543+'[11]JULIO 2019'!$H$1545</f>
        <v>69082492</v>
      </c>
      <c r="CX61" s="66"/>
      <c r="CY61" s="66"/>
      <c r="CZ61" s="66"/>
      <c r="DA61" s="66"/>
      <c r="DB61" s="22">
        <f t="shared" si="93"/>
        <v>0.32611675333333334</v>
      </c>
      <c r="DC61" s="66">
        <f t="shared" si="128"/>
        <v>48917513</v>
      </c>
      <c r="DD61" s="66">
        <f t="shared" si="129"/>
        <v>0</v>
      </c>
      <c r="DE61" s="66">
        <f t="shared" si="130"/>
        <v>0</v>
      </c>
      <c r="DF61" s="66">
        <f t="shared" si="131"/>
        <v>0</v>
      </c>
      <c r="DG61" s="66">
        <f t="shared" si="132"/>
        <v>0</v>
      </c>
      <c r="DH61" s="66">
        <f t="shared" si="133"/>
        <v>0</v>
      </c>
      <c r="DI61" s="66">
        <f t="shared" si="134"/>
        <v>0</v>
      </c>
      <c r="DJ61" s="66">
        <f t="shared" si="135"/>
        <v>0</v>
      </c>
      <c r="DK61" s="66">
        <f t="shared" si="136"/>
        <v>18000005</v>
      </c>
      <c r="DL61" s="66">
        <f t="shared" si="137"/>
        <v>0</v>
      </c>
      <c r="DM61" s="66">
        <f t="shared" si="138"/>
        <v>0</v>
      </c>
      <c r="DN61" s="66">
        <f t="shared" si="139"/>
        <v>0</v>
      </c>
      <c r="DO61" s="66">
        <f t="shared" si="140"/>
        <v>0</v>
      </c>
      <c r="DP61" s="66">
        <f t="shared" si="141"/>
        <v>0</v>
      </c>
      <c r="DQ61" s="66">
        <f t="shared" si="142"/>
        <v>0</v>
      </c>
      <c r="DR61" s="66">
        <f t="shared" si="143"/>
        <v>0</v>
      </c>
      <c r="DS61" s="66">
        <f t="shared" si="144"/>
        <v>0</v>
      </c>
      <c r="DT61" s="66">
        <f t="shared" si="145"/>
        <v>0</v>
      </c>
      <c r="DU61" s="66">
        <f t="shared" si="146"/>
        <v>0</v>
      </c>
      <c r="DV61" s="66">
        <f t="shared" si="147"/>
        <v>30917508</v>
      </c>
      <c r="DW61" s="66">
        <f t="shared" si="148"/>
        <v>0</v>
      </c>
      <c r="DX61" s="66">
        <f t="shared" si="149"/>
        <v>0</v>
      </c>
      <c r="DY61" s="66"/>
      <c r="DZ61" s="66">
        <f t="shared" si="150"/>
        <v>0</v>
      </c>
      <c r="EB61" s="9">
        <f t="shared" si="94"/>
        <v>150000000</v>
      </c>
      <c r="EC61" s="9">
        <f t="shared" si="95"/>
        <v>150000000</v>
      </c>
      <c r="ED61" s="9">
        <f t="shared" si="96"/>
        <v>150000000</v>
      </c>
    </row>
    <row r="62" spans="1:134" ht="26.4" customHeight="1" x14ac:dyDescent="0.3">
      <c r="A62" s="207"/>
      <c r="B62" s="220"/>
      <c r="C62" s="121" t="s">
        <v>226</v>
      </c>
      <c r="D62" s="69" t="s">
        <v>225</v>
      </c>
      <c r="E62" s="87">
        <v>410</v>
      </c>
      <c r="F62" s="67" t="s">
        <v>127</v>
      </c>
      <c r="G62" s="66">
        <f t="shared" si="102"/>
        <v>80000000</v>
      </c>
      <c r="H62" s="66"/>
      <c r="I62" s="66"/>
      <c r="J62" s="66"/>
      <c r="K62" s="66"/>
      <c r="L62" s="66"/>
      <c r="M62" s="66"/>
      <c r="N62" s="66"/>
      <c r="O62" s="66">
        <v>80000000</v>
      </c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22">
        <f t="shared" si="90"/>
        <v>0.77730809999999995</v>
      </c>
      <c r="AF62" s="66">
        <f t="shared" si="103"/>
        <v>62184648</v>
      </c>
      <c r="AG62" s="66"/>
      <c r="AH62" s="66"/>
      <c r="AI62" s="66"/>
      <c r="AJ62" s="66"/>
      <c r="AK62" s="66"/>
      <c r="AL62" s="66"/>
      <c r="AM62" s="66"/>
      <c r="AN62" s="66">
        <f>+'[2]SEPTIEMBRE 2019'!$Q$2093</f>
        <v>62184648</v>
      </c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22">
        <f t="shared" si="91"/>
        <v>0.22269190000000005</v>
      </c>
      <c r="BE62" s="66">
        <f t="shared" si="104"/>
        <v>17815352</v>
      </c>
      <c r="BF62" s="66">
        <f t="shared" si="105"/>
        <v>0</v>
      </c>
      <c r="BG62" s="66">
        <f t="shared" si="106"/>
        <v>0</v>
      </c>
      <c r="BH62" s="66">
        <f t="shared" si="107"/>
        <v>0</v>
      </c>
      <c r="BI62" s="66">
        <f t="shared" si="108"/>
        <v>0</v>
      </c>
      <c r="BJ62" s="66">
        <f t="shared" si="109"/>
        <v>0</v>
      </c>
      <c r="BK62" s="66">
        <f t="shared" si="110"/>
        <v>0</v>
      </c>
      <c r="BL62" s="66">
        <f t="shared" si="111"/>
        <v>0</v>
      </c>
      <c r="BM62" s="66">
        <f t="shared" si="112"/>
        <v>17815352</v>
      </c>
      <c r="BN62" s="66">
        <f t="shared" si="113"/>
        <v>0</v>
      </c>
      <c r="BO62" s="66">
        <f t="shared" si="114"/>
        <v>0</v>
      </c>
      <c r="BP62" s="66">
        <f t="shared" si="115"/>
        <v>0</v>
      </c>
      <c r="BQ62" s="66">
        <f t="shared" si="116"/>
        <v>0</v>
      </c>
      <c r="BR62" s="66">
        <f t="shared" si="117"/>
        <v>0</v>
      </c>
      <c r="BS62" s="66">
        <f t="shared" si="118"/>
        <v>0</v>
      </c>
      <c r="BT62" s="66">
        <f t="shared" si="119"/>
        <v>0</v>
      </c>
      <c r="BU62" s="66">
        <f t="shared" si="120"/>
        <v>0</v>
      </c>
      <c r="BV62" s="66">
        <f t="shared" si="121"/>
        <v>0</v>
      </c>
      <c r="BW62" s="66">
        <f t="shared" si="122"/>
        <v>0</v>
      </c>
      <c r="BX62" s="66">
        <f t="shared" si="123"/>
        <v>0</v>
      </c>
      <c r="BY62" s="66">
        <f t="shared" si="124"/>
        <v>0</v>
      </c>
      <c r="BZ62" s="66">
        <f t="shared" si="125"/>
        <v>0</v>
      </c>
      <c r="CA62" s="66"/>
      <c r="CB62" s="66">
        <f t="shared" si="126"/>
        <v>0</v>
      </c>
      <c r="CC62" s="22">
        <f t="shared" si="92"/>
        <v>0.5846618375</v>
      </c>
      <c r="CD62" s="66">
        <f t="shared" si="127"/>
        <v>46772947</v>
      </c>
      <c r="CE62" s="66"/>
      <c r="CF62" s="66"/>
      <c r="CG62" s="66"/>
      <c r="CH62" s="66"/>
      <c r="CI62" s="66"/>
      <c r="CJ62" s="66"/>
      <c r="CK62" s="66"/>
      <c r="CL62" s="66">
        <f>+'[1]OCTUBRE 2019'!$H$2357</f>
        <v>46772947</v>
      </c>
      <c r="CM62" s="66"/>
      <c r="CN62" s="66"/>
      <c r="CO62" s="66"/>
      <c r="CP62" s="66"/>
      <c r="CQ62" s="66"/>
      <c r="CR62" s="66"/>
      <c r="CS62" s="66"/>
      <c r="CT62" s="66"/>
      <c r="CU62" s="66"/>
      <c r="CV62" s="66"/>
      <c r="CW62" s="66"/>
      <c r="CX62" s="66"/>
      <c r="CY62" s="66"/>
      <c r="CZ62" s="66"/>
      <c r="DA62" s="66"/>
      <c r="DB62" s="22">
        <f t="shared" si="93"/>
        <v>0.4153381625</v>
      </c>
      <c r="DC62" s="66">
        <f t="shared" si="128"/>
        <v>33227053</v>
      </c>
      <c r="DD62" s="66">
        <f t="shared" si="129"/>
        <v>0</v>
      </c>
      <c r="DE62" s="66">
        <f t="shared" si="130"/>
        <v>0</v>
      </c>
      <c r="DF62" s="66">
        <f t="shared" si="131"/>
        <v>0</v>
      </c>
      <c r="DG62" s="66">
        <f t="shared" si="132"/>
        <v>0</v>
      </c>
      <c r="DH62" s="66">
        <f t="shared" si="133"/>
        <v>0</v>
      </c>
      <c r="DI62" s="66">
        <f t="shared" si="134"/>
        <v>0</v>
      </c>
      <c r="DJ62" s="66">
        <f t="shared" si="135"/>
        <v>0</v>
      </c>
      <c r="DK62" s="66">
        <f t="shared" si="136"/>
        <v>33227053</v>
      </c>
      <c r="DL62" s="66">
        <f t="shared" si="137"/>
        <v>0</v>
      </c>
      <c r="DM62" s="66">
        <f t="shared" si="138"/>
        <v>0</v>
      </c>
      <c r="DN62" s="66">
        <f t="shared" si="139"/>
        <v>0</v>
      </c>
      <c r="DO62" s="66">
        <f t="shared" si="140"/>
        <v>0</v>
      </c>
      <c r="DP62" s="66">
        <f t="shared" si="141"/>
        <v>0</v>
      </c>
      <c r="DQ62" s="66">
        <f t="shared" si="142"/>
        <v>0</v>
      </c>
      <c r="DR62" s="66">
        <f t="shared" si="143"/>
        <v>0</v>
      </c>
      <c r="DS62" s="66">
        <f t="shared" si="144"/>
        <v>0</v>
      </c>
      <c r="DT62" s="66">
        <f t="shared" si="145"/>
        <v>0</v>
      </c>
      <c r="DU62" s="66">
        <f t="shared" si="146"/>
        <v>0</v>
      </c>
      <c r="DV62" s="66">
        <f t="shared" si="147"/>
        <v>0</v>
      </c>
      <c r="DW62" s="66">
        <f t="shared" si="148"/>
        <v>0</v>
      </c>
      <c r="DX62" s="66">
        <f t="shared" si="149"/>
        <v>0</v>
      </c>
      <c r="DY62" s="66"/>
      <c r="DZ62" s="66">
        <f t="shared" si="150"/>
        <v>0</v>
      </c>
      <c r="EB62" s="9">
        <f t="shared" si="94"/>
        <v>80000000</v>
      </c>
      <c r="EC62" s="9">
        <f t="shared" si="95"/>
        <v>80000000</v>
      </c>
      <c r="ED62" s="9">
        <f t="shared" si="96"/>
        <v>80000000</v>
      </c>
    </row>
    <row r="63" spans="1:134" ht="25.8" customHeight="1" x14ac:dyDescent="0.3">
      <c r="A63" s="207"/>
      <c r="B63" s="219" t="s">
        <v>224</v>
      </c>
      <c r="C63" s="121" t="s">
        <v>223</v>
      </c>
      <c r="D63" s="69" t="s">
        <v>222</v>
      </c>
      <c r="E63" s="87">
        <v>410</v>
      </c>
      <c r="F63" s="67" t="s">
        <v>127</v>
      </c>
      <c r="G63" s="66">
        <f t="shared" si="102"/>
        <v>869968071</v>
      </c>
      <c r="H63" s="66"/>
      <c r="I63" s="66"/>
      <c r="J63" s="66"/>
      <c r="K63" s="66"/>
      <c r="L63" s="66"/>
      <c r="M63" s="66"/>
      <c r="N63" s="66"/>
      <c r="O63" s="66"/>
      <c r="P63" s="66">
        <f>45960534-45960534</f>
        <v>0</v>
      </c>
      <c r="Q63" s="66">
        <f>45960534-45960534</f>
        <v>0</v>
      </c>
      <c r="R63" s="66">
        <f>45960534-45960534</f>
        <v>0</v>
      </c>
      <c r="S63" s="66">
        <f>480000000+221840643</f>
        <v>701840643</v>
      </c>
      <c r="T63" s="66"/>
      <c r="U63" s="66"/>
      <c r="V63" s="66"/>
      <c r="W63" s="66"/>
      <c r="X63" s="66"/>
      <c r="Y63" s="66">
        <v>52565530</v>
      </c>
      <c r="Z63" s="66">
        <v>105561898</v>
      </c>
      <c r="AA63" s="66"/>
      <c r="AB63" s="66"/>
      <c r="AC63" s="66"/>
      <c r="AD63" s="66">
        <f>10000000</f>
        <v>10000000</v>
      </c>
      <c r="AE63" s="22">
        <f t="shared" ref="AE63:AE83" si="151">+AF63/G63</f>
        <v>0.85919314388263335</v>
      </c>
      <c r="AF63" s="66">
        <f t="shared" si="103"/>
        <v>747470602</v>
      </c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>
        <f>+'[1]OCTUBRE 2019'!$U$2382</f>
        <v>643772375</v>
      </c>
      <c r="AS63" s="66"/>
      <c r="AT63" s="66"/>
      <c r="AU63" s="66"/>
      <c r="AV63" s="66"/>
      <c r="AW63" s="66"/>
      <c r="AX63" s="66"/>
      <c r="AY63" s="66">
        <f>+'[6]MAYO 2019'!$AA$1107</f>
        <v>103698227</v>
      </c>
      <c r="AZ63" s="66"/>
      <c r="BA63" s="66"/>
      <c r="BB63" s="66"/>
      <c r="BC63" s="66"/>
      <c r="BD63" s="22">
        <f t="shared" si="91"/>
        <v>0.14080685611736665</v>
      </c>
      <c r="BE63" s="66">
        <f t="shared" si="104"/>
        <v>122497469</v>
      </c>
      <c r="BF63" s="66">
        <f t="shared" si="105"/>
        <v>0</v>
      </c>
      <c r="BG63" s="66">
        <f t="shared" si="106"/>
        <v>0</v>
      </c>
      <c r="BH63" s="66">
        <f t="shared" si="107"/>
        <v>0</v>
      </c>
      <c r="BI63" s="66">
        <f t="shared" si="108"/>
        <v>0</v>
      </c>
      <c r="BJ63" s="66">
        <f t="shared" si="109"/>
        <v>0</v>
      </c>
      <c r="BK63" s="66">
        <f t="shared" si="110"/>
        <v>0</v>
      </c>
      <c r="BL63" s="66">
        <f t="shared" si="111"/>
        <v>0</v>
      </c>
      <c r="BM63" s="66">
        <f t="shared" si="112"/>
        <v>0</v>
      </c>
      <c r="BN63" s="66">
        <f t="shared" si="113"/>
        <v>0</v>
      </c>
      <c r="BO63" s="66">
        <f t="shared" si="114"/>
        <v>0</v>
      </c>
      <c r="BP63" s="66">
        <f t="shared" si="115"/>
        <v>0</v>
      </c>
      <c r="BQ63" s="66">
        <f t="shared" si="116"/>
        <v>58068268</v>
      </c>
      <c r="BR63" s="66">
        <f t="shared" si="117"/>
        <v>0</v>
      </c>
      <c r="BS63" s="66">
        <f t="shared" si="118"/>
        <v>0</v>
      </c>
      <c r="BT63" s="66">
        <f t="shared" si="119"/>
        <v>0</v>
      </c>
      <c r="BU63" s="66">
        <f t="shared" si="120"/>
        <v>0</v>
      </c>
      <c r="BV63" s="66">
        <f t="shared" si="121"/>
        <v>0</v>
      </c>
      <c r="BW63" s="66">
        <f t="shared" si="122"/>
        <v>52565530</v>
      </c>
      <c r="BX63" s="66">
        <f t="shared" si="123"/>
        <v>1863671</v>
      </c>
      <c r="BY63" s="66">
        <f t="shared" si="124"/>
        <v>0</v>
      </c>
      <c r="BZ63" s="66">
        <f t="shared" si="125"/>
        <v>0</v>
      </c>
      <c r="CA63" s="66"/>
      <c r="CB63" s="66">
        <f t="shared" si="126"/>
        <v>10000000</v>
      </c>
      <c r="CC63" s="22">
        <f t="shared" si="92"/>
        <v>0.67887686650513868</v>
      </c>
      <c r="CD63" s="66">
        <f t="shared" si="127"/>
        <v>590601198</v>
      </c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>
        <f>+'[1]OCTUBRE 2019'!$H$2380-CW63</f>
        <v>488626644</v>
      </c>
      <c r="CQ63" s="66"/>
      <c r="CR63" s="66"/>
      <c r="CS63" s="66"/>
      <c r="CT63" s="66"/>
      <c r="CU63" s="66"/>
      <c r="CV63" s="66"/>
      <c r="CW63" s="66">
        <f>+'[1]OCTUBRE 2019'!$H$2383+'[1]OCTUBRE 2019'!$H$2385+'[1]OCTUBRE 2019'!$H$2387+'[1]OCTUBRE 2019'!$H$2390+'[1]OCTUBRE 2019'!$H$2392+'[1]OCTUBRE 2019'!$H$2394+'[1]OCTUBRE 2019'!$H$2396+'[1]OCTUBRE 2019'!$H$2399+'[1]OCTUBRE 2019'!$H$2401+'[1]OCTUBRE 2019'!$H$2404+'[1]OCTUBRE 2019'!$H$2405+'[1]OCTUBRE 2019'!$H$2406+'[1]OCTUBRE 2019'!$H$2408+'[1]OCTUBRE 2019'!$H$2412+'[1]OCTUBRE 2019'!$H$2413+'[1]OCTUBRE 2019'!$H$2414+'[1]OCTUBRE 2019'!$H$2415+'[1]OCTUBRE 2019'!$H$2416+'[1]OCTUBRE 2019'!$H$2417+'[1]OCTUBRE 2019'!$H$2418+'[1]OCTUBRE 2019'!$H$2420</f>
        <v>101974554</v>
      </c>
      <c r="CX63" s="66"/>
      <c r="CY63" s="66"/>
      <c r="CZ63" s="66"/>
      <c r="DA63" s="66"/>
      <c r="DB63" s="22">
        <f t="shared" si="93"/>
        <v>0.32112313349486132</v>
      </c>
      <c r="DC63" s="66">
        <f t="shared" si="128"/>
        <v>279366873</v>
      </c>
      <c r="DD63" s="66">
        <f t="shared" si="129"/>
        <v>0</v>
      </c>
      <c r="DE63" s="66">
        <f t="shared" si="130"/>
        <v>0</v>
      </c>
      <c r="DF63" s="66">
        <f t="shared" si="131"/>
        <v>0</v>
      </c>
      <c r="DG63" s="66">
        <f t="shared" si="132"/>
        <v>0</v>
      </c>
      <c r="DH63" s="66">
        <f t="shared" si="133"/>
        <v>0</v>
      </c>
      <c r="DI63" s="66">
        <f t="shared" si="134"/>
        <v>0</v>
      </c>
      <c r="DJ63" s="66">
        <f t="shared" si="135"/>
        <v>0</v>
      </c>
      <c r="DK63" s="66">
        <f t="shared" si="136"/>
        <v>0</v>
      </c>
      <c r="DL63" s="66">
        <f t="shared" si="137"/>
        <v>0</v>
      </c>
      <c r="DM63" s="66">
        <f t="shared" si="138"/>
        <v>0</v>
      </c>
      <c r="DN63" s="66">
        <f t="shared" si="139"/>
        <v>0</v>
      </c>
      <c r="DO63" s="66">
        <f t="shared" si="140"/>
        <v>213213999</v>
      </c>
      <c r="DP63" s="66">
        <f t="shared" si="141"/>
        <v>0</v>
      </c>
      <c r="DQ63" s="66">
        <f t="shared" si="142"/>
        <v>0</v>
      </c>
      <c r="DR63" s="66">
        <f t="shared" si="143"/>
        <v>0</v>
      </c>
      <c r="DS63" s="66">
        <f t="shared" si="144"/>
        <v>0</v>
      </c>
      <c r="DT63" s="66">
        <f t="shared" si="145"/>
        <v>0</v>
      </c>
      <c r="DU63" s="66">
        <f t="shared" si="146"/>
        <v>52565530</v>
      </c>
      <c r="DV63" s="66">
        <f t="shared" si="147"/>
        <v>3587344</v>
      </c>
      <c r="DW63" s="66">
        <f t="shared" si="148"/>
        <v>0</v>
      </c>
      <c r="DX63" s="66">
        <f t="shared" si="149"/>
        <v>0</v>
      </c>
      <c r="DY63" s="66"/>
      <c r="DZ63" s="66">
        <f t="shared" si="150"/>
        <v>10000000</v>
      </c>
      <c r="EB63" s="9">
        <f t="shared" si="94"/>
        <v>869968071</v>
      </c>
      <c r="EC63" s="9">
        <f t="shared" si="95"/>
        <v>869968071</v>
      </c>
      <c r="ED63" s="9">
        <f t="shared" si="96"/>
        <v>869968071</v>
      </c>
    </row>
    <row r="64" spans="1:134" ht="17.399999999999999" customHeight="1" x14ac:dyDescent="0.3">
      <c r="A64" s="207"/>
      <c r="B64" s="234"/>
      <c r="C64" s="121" t="s">
        <v>221</v>
      </c>
      <c r="D64" s="69" t="s">
        <v>220</v>
      </c>
      <c r="E64" s="87">
        <v>410</v>
      </c>
      <c r="F64" s="67" t="s">
        <v>127</v>
      </c>
      <c r="G64" s="66">
        <f t="shared" si="102"/>
        <v>10000000</v>
      </c>
      <c r="H64" s="66"/>
      <c r="I64" s="66"/>
      <c r="J64" s="66"/>
      <c r="K64" s="66"/>
      <c r="L64" s="66"/>
      <c r="M64" s="66"/>
      <c r="N64" s="66"/>
      <c r="O64" s="66">
        <v>10000000</v>
      </c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22">
        <f t="shared" si="151"/>
        <v>0.77810000000000001</v>
      </c>
      <c r="AF64" s="66">
        <f t="shared" si="103"/>
        <v>7781000</v>
      </c>
      <c r="AG64" s="66"/>
      <c r="AH64" s="66"/>
      <c r="AI64" s="66"/>
      <c r="AJ64" s="66"/>
      <c r="AK64" s="66"/>
      <c r="AL64" s="66"/>
      <c r="AM64" s="66"/>
      <c r="AN64" s="66">
        <f>+'[1]OCTUBRE 2019'!$Q$2682</f>
        <v>7781000</v>
      </c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22">
        <f t="shared" si="91"/>
        <v>0.22189999999999999</v>
      </c>
      <c r="BE64" s="66">
        <f t="shared" si="104"/>
        <v>2219000</v>
      </c>
      <c r="BF64" s="66">
        <f t="shared" si="105"/>
        <v>0</v>
      </c>
      <c r="BG64" s="66">
        <f t="shared" si="106"/>
        <v>0</v>
      </c>
      <c r="BH64" s="66">
        <f t="shared" si="107"/>
        <v>0</v>
      </c>
      <c r="BI64" s="66">
        <f t="shared" si="108"/>
        <v>0</v>
      </c>
      <c r="BJ64" s="66">
        <f t="shared" si="109"/>
        <v>0</v>
      </c>
      <c r="BK64" s="66">
        <f t="shared" si="110"/>
        <v>0</v>
      </c>
      <c r="BL64" s="66">
        <f t="shared" si="111"/>
        <v>0</v>
      </c>
      <c r="BM64" s="66">
        <f t="shared" si="112"/>
        <v>2219000</v>
      </c>
      <c r="BN64" s="66">
        <f t="shared" si="113"/>
        <v>0</v>
      </c>
      <c r="BO64" s="66">
        <f t="shared" si="114"/>
        <v>0</v>
      </c>
      <c r="BP64" s="66">
        <f t="shared" si="115"/>
        <v>0</v>
      </c>
      <c r="BQ64" s="66">
        <f t="shared" si="116"/>
        <v>0</v>
      </c>
      <c r="BR64" s="66">
        <f t="shared" si="117"/>
        <v>0</v>
      </c>
      <c r="BS64" s="66">
        <f t="shared" si="118"/>
        <v>0</v>
      </c>
      <c r="BT64" s="66">
        <f t="shared" si="119"/>
        <v>0</v>
      </c>
      <c r="BU64" s="66">
        <f t="shared" si="120"/>
        <v>0</v>
      </c>
      <c r="BV64" s="66">
        <f t="shared" si="121"/>
        <v>0</v>
      </c>
      <c r="BW64" s="66">
        <f t="shared" si="122"/>
        <v>0</v>
      </c>
      <c r="BX64" s="66">
        <f t="shared" si="123"/>
        <v>0</v>
      </c>
      <c r="BY64" s="66">
        <f t="shared" si="124"/>
        <v>0</v>
      </c>
      <c r="BZ64" s="66">
        <f t="shared" si="125"/>
        <v>0</v>
      </c>
      <c r="CA64" s="66"/>
      <c r="CB64" s="66">
        <f t="shared" si="126"/>
        <v>0</v>
      </c>
      <c r="CC64" s="22">
        <f t="shared" si="92"/>
        <v>0.54790000000000005</v>
      </c>
      <c r="CD64" s="66">
        <f t="shared" si="127"/>
        <v>5479000</v>
      </c>
      <c r="CE64" s="66"/>
      <c r="CF64" s="66"/>
      <c r="CG64" s="66"/>
      <c r="CH64" s="66"/>
      <c r="CI64" s="66"/>
      <c r="CJ64" s="66"/>
      <c r="CK64" s="66"/>
      <c r="CL64" s="66">
        <f>+'[1]OCTUBRE 2019'!$H$2680</f>
        <v>5479000</v>
      </c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22">
        <f t="shared" si="93"/>
        <v>0.45209999999999995</v>
      </c>
      <c r="DC64" s="66">
        <f t="shared" si="128"/>
        <v>4521000</v>
      </c>
      <c r="DD64" s="66">
        <f t="shared" si="129"/>
        <v>0</v>
      </c>
      <c r="DE64" s="66">
        <f t="shared" si="130"/>
        <v>0</v>
      </c>
      <c r="DF64" s="66">
        <f t="shared" si="131"/>
        <v>0</v>
      </c>
      <c r="DG64" s="66">
        <f t="shared" si="132"/>
        <v>0</v>
      </c>
      <c r="DH64" s="66">
        <f t="shared" si="133"/>
        <v>0</v>
      </c>
      <c r="DI64" s="66">
        <f t="shared" si="134"/>
        <v>0</v>
      </c>
      <c r="DJ64" s="66">
        <f t="shared" si="135"/>
        <v>0</v>
      </c>
      <c r="DK64" s="66">
        <f t="shared" si="136"/>
        <v>4521000</v>
      </c>
      <c r="DL64" s="66">
        <f t="shared" si="137"/>
        <v>0</v>
      </c>
      <c r="DM64" s="66">
        <f t="shared" si="138"/>
        <v>0</v>
      </c>
      <c r="DN64" s="66">
        <f t="shared" si="139"/>
        <v>0</v>
      </c>
      <c r="DO64" s="66">
        <f t="shared" si="140"/>
        <v>0</v>
      </c>
      <c r="DP64" s="66">
        <f t="shared" si="141"/>
        <v>0</v>
      </c>
      <c r="DQ64" s="66">
        <f t="shared" si="142"/>
        <v>0</v>
      </c>
      <c r="DR64" s="66">
        <f t="shared" si="143"/>
        <v>0</v>
      </c>
      <c r="DS64" s="66">
        <f t="shared" si="144"/>
        <v>0</v>
      </c>
      <c r="DT64" s="66">
        <f t="shared" si="145"/>
        <v>0</v>
      </c>
      <c r="DU64" s="66">
        <f t="shared" si="146"/>
        <v>0</v>
      </c>
      <c r="DV64" s="66">
        <f t="shared" si="147"/>
        <v>0</v>
      </c>
      <c r="DW64" s="66">
        <f t="shared" si="148"/>
        <v>0</v>
      </c>
      <c r="DX64" s="66">
        <f t="shared" si="149"/>
        <v>0</v>
      </c>
      <c r="DY64" s="66"/>
      <c r="DZ64" s="66">
        <f t="shared" si="150"/>
        <v>0</v>
      </c>
      <c r="EB64" s="9">
        <f t="shared" si="94"/>
        <v>10000000</v>
      </c>
      <c r="EC64" s="9">
        <f t="shared" si="95"/>
        <v>10000000</v>
      </c>
      <c r="ED64" s="9">
        <f t="shared" si="96"/>
        <v>10000000</v>
      </c>
    </row>
    <row r="65" spans="1:134" ht="16.2" customHeight="1" x14ac:dyDescent="0.3">
      <c r="A65" s="207"/>
      <c r="B65" s="234"/>
      <c r="C65" s="121" t="s">
        <v>219</v>
      </c>
      <c r="D65" s="69" t="s">
        <v>218</v>
      </c>
      <c r="E65" s="87">
        <v>410</v>
      </c>
      <c r="F65" s="67" t="s">
        <v>127</v>
      </c>
      <c r="G65" s="66">
        <f t="shared" si="102"/>
        <v>10000000</v>
      </c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>
        <v>10000000</v>
      </c>
      <c r="AA65" s="66"/>
      <c r="AB65" s="66"/>
      <c r="AC65" s="66"/>
      <c r="AD65" s="66"/>
      <c r="AE65" s="22">
        <f t="shared" si="151"/>
        <v>0</v>
      </c>
      <c r="AF65" s="66">
        <f t="shared" si="103"/>
        <v>0</v>
      </c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22">
        <f t="shared" si="91"/>
        <v>1</v>
      </c>
      <c r="BE65" s="66">
        <f t="shared" si="104"/>
        <v>10000000</v>
      </c>
      <c r="BF65" s="66">
        <f t="shared" si="105"/>
        <v>0</v>
      </c>
      <c r="BG65" s="66">
        <f t="shared" si="106"/>
        <v>0</v>
      </c>
      <c r="BH65" s="66">
        <f t="shared" si="107"/>
        <v>0</v>
      </c>
      <c r="BI65" s="66">
        <f t="shared" si="108"/>
        <v>0</v>
      </c>
      <c r="BJ65" s="66">
        <f t="shared" si="109"/>
        <v>0</v>
      </c>
      <c r="BK65" s="66">
        <f t="shared" si="110"/>
        <v>0</v>
      </c>
      <c r="BL65" s="66">
        <f t="shared" si="111"/>
        <v>0</v>
      </c>
      <c r="BM65" s="66">
        <f t="shared" si="112"/>
        <v>0</v>
      </c>
      <c r="BN65" s="66">
        <f t="shared" si="113"/>
        <v>0</v>
      </c>
      <c r="BO65" s="66">
        <f t="shared" si="114"/>
        <v>0</v>
      </c>
      <c r="BP65" s="66">
        <f t="shared" si="115"/>
        <v>0</v>
      </c>
      <c r="BQ65" s="66">
        <f t="shared" si="116"/>
        <v>0</v>
      </c>
      <c r="BR65" s="66">
        <f t="shared" si="117"/>
        <v>0</v>
      </c>
      <c r="BS65" s="66">
        <f t="shared" si="118"/>
        <v>0</v>
      </c>
      <c r="BT65" s="66">
        <f t="shared" si="119"/>
        <v>0</v>
      </c>
      <c r="BU65" s="66">
        <f t="shared" si="120"/>
        <v>0</v>
      </c>
      <c r="BV65" s="66">
        <f t="shared" si="121"/>
        <v>0</v>
      </c>
      <c r="BW65" s="66">
        <f t="shared" si="122"/>
        <v>0</v>
      </c>
      <c r="BX65" s="66">
        <f t="shared" si="123"/>
        <v>10000000</v>
      </c>
      <c r="BY65" s="66">
        <f t="shared" si="124"/>
        <v>0</v>
      </c>
      <c r="BZ65" s="66">
        <f t="shared" si="125"/>
        <v>0</v>
      </c>
      <c r="CA65" s="66"/>
      <c r="CB65" s="66">
        <f t="shared" si="126"/>
        <v>0</v>
      </c>
      <c r="CC65" s="22">
        <f t="shared" si="92"/>
        <v>0</v>
      </c>
      <c r="CD65" s="66">
        <f t="shared" si="127"/>
        <v>0</v>
      </c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22">
        <f t="shared" si="93"/>
        <v>1</v>
      </c>
      <c r="DC65" s="66">
        <f t="shared" si="128"/>
        <v>10000000</v>
      </c>
      <c r="DD65" s="66">
        <f t="shared" si="129"/>
        <v>0</v>
      </c>
      <c r="DE65" s="66">
        <f t="shared" si="130"/>
        <v>0</v>
      </c>
      <c r="DF65" s="66">
        <f t="shared" si="131"/>
        <v>0</v>
      </c>
      <c r="DG65" s="66">
        <f t="shared" si="132"/>
        <v>0</v>
      </c>
      <c r="DH65" s="66">
        <f t="shared" si="133"/>
        <v>0</v>
      </c>
      <c r="DI65" s="66">
        <f t="shared" si="134"/>
        <v>0</v>
      </c>
      <c r="DJ65" s="66">
        <f t="shared" si="135"/>
        <v>0</v>
      </c>
      <c r="DK65" s="66">
        <f t="shared" si="136"/>
        <v>0</v>
      </c>
      <c r="DL65" s="66">
        <f t="shared" si="137"/>
        <v>0</v>
      </c>
      <c r="DM65" s="66">
        <f t="shared" si="138"/>
        <v>0</v>
      </c>
      <c r="DN65" s="66">
        <f t="shared" si="139"/>
        <v>0</v>
      </c>
      <c r="DO65" s="66">
        <f t="shared" si="140"/>
        <v>0</v>
      </c>
      <c r="DP65" s="66">
        <f t="shared" si="141"/>
        <v>0</v>
      </c>
      <c r="DQ65" s="66">
        <f t="shared" si="142"/>
        <v>0</v>
      </c>
      <c r="DR65" s="66">
        <f t="shared" si="143"/>
        <v>0</v>
      </c>
      <c r="DS65" s="66">
        <f t="shared" si="144"/>
        <v>0</v>
      </c>
      <c r="DT65" s="66">
        <f t="shared" si="145"/>
        <v>0</v>
      </c>
      <c r="DU65" s="66">
        <f t="shared" si="146"/>
        <v>0</v>
      </c>
      <c r="DV65" s="66">
        <f t="shared" si="147"/>
        <v>10000000</v>
      </c>
      <c r="DW65" s="66">
        <f t="shared" si="148"/>
        <v>0</v>
      </c>
      <c r="DX65" s="66">
        <f t="shared" si="149"/>
        <v>0</v>
      </c>
      <c r="DY65" s="66"/>
      <c r="DZ65" s="66">
        <f t="shared" si="150"/>
        <v>0</v>
      </c>
      <c r="EB65" s="9">
        <f t="shared" si="94"/>
        <v>10000000</v>
      </c>
      <c r="EC65" s="9">
        <f t="shared" si="95"/>
        <v>10000000</v>
      </c>
      <c r="ED65" s="9">
        <f t="shared" si="96"/>
        <v>10000000</v>
      </c>
    </row>
    <row r="66" spans="1:134" ht="29.4" customHeight="1" x14ac:dyDescent="0.3">
      <c r="A66" s="207"/>
      <c r="B66" s="234"/>
      <c r="C66" s="121" t="s">
        <v>217</v>
      </c>
      <c r="D66" s="69" t="s">
        <v>216</v>
      </c>
      <c r="E66" s="87">
        <v>410</v>
      </c>
      <c r="F66" s="67" t="s">
        <v>127</v>
      </c>
      <c r="G66" s="66">
        <f t="shared" si="102"/>
        <v>237881602</v>
      </c>
      <c r="H66" s="66"/>
      <c r="I66" s="66"/>
      <c r="J66" s="66"/>
      <c r="K66" s="66"/>
      <c r="L66" s="66"/>
      <c r="M66" s="66"/>
      <c r="N66" s="66"/>
      <c r="O66" s="66">
        <v>100000000</v>
      </c>
      <c r="P66" s="66">
        <f>45960534</f>
        <v>45960534</v>
      </c>
      <c r="Q66" s="66">
        <f>45960534</f>
        <v>45960534</v>
      </c>
      <c r="R66" s="66">
        <f>45960534</f>
        <v>45960534</v>
      </c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22">
        <f t="shared" si="151"/>
        <v>0.36154521104999116</v>
      </c>
      <c r="AF66" s="66">
        <f t="shared" si="103"/>
        <v>86004954</v>
      </c>
      <c r="AG66" s="66"/>
      <c r="AH66" s="66"/>
      <c r="AI66" s="66"/>
      <c r="AJ66" s="66"/>
      <c r="AK66" s="66"/>
      <c r="AL66" s="66"/>
      <c r="AM66" s="66"/>
      <c r="AN66" s="66">
        <f>+'[1]OCTUBRE 2019'!$Q$2700</f>
        <v>81562652</v>
      </c>
      <c r="AO66" s="66"/>
      <c r="AP66" s="66">
        <f>+'[1]OCTUBRE 2019'!$S$2700</f>
        <v>4442302</v>
      </c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22">
        <f t="shared" si="91"/>
        <v>0.63845478895000884</v>
      </c>
      <c r="BE66" s="66">
        <f t="shared" si="104"/>
        <v>151876648</v>
      </c>
      <c r="BF66" s="66">
        <f t="shared" si="105"/>
        <v>0</v>
      </c>
      <c r="BG66" s="66">
        <f t="shared" si="106"/>
        <v>0</v>
      </c>
      <c r="BH66" s="66">
        <f t="shared" si="107"/>
        <v>0</v>
      </c>
      <c r="BI66" s="66">
        <f t="shared" si="108"/>
        <v>0</v>
      </c>
      <c r="BJ66" s="66">
        <f t="shared" si="109"/>
        <v>0</v>
      </c>
      <c r="BK66" s="66">
        <f t="shared" si="110"/>
        <v>0</v>
      </c>
      <c r="BL66" s="66">
        <f t="shared" si="111"/>
        <v>0</v>
      </c>
      <c r="BM66" s="66">
        <f t="shared" si="112"/>
        <v>18437348</v>
      </c>
      <c r="BN66" s="66">
        <f t="shared" si="113"/>
        <v>45960534</v>
      </c>
      <c r="BO66" s="66">
        <f t="shared" si="114"/>
        <v>41518232</v>
      </c>
      <c r="BP66" s="66">
        <f t="shared" si="115"/>
        <v>45960534</v>
      </c>
      <c r="BQ66" s="66">
        <f t="shared" si="116"/>
        <v>0</v>
      </c>
      <c r="BR66" s="66">
        <f t="shared" si="117"/>
        <v>0</v>
      </c>
      <c r="BS66" s="66">
        <f t="shared" si="118"/>
        <v>0</v>
      </c>
      <c r="BT66" s="66">
        <f t="shared" si="119"/>
        <v>0</v>
      </c>
      <c r="BU66" s="66">
        <f t="shared" si="120"/>
        <v>0</v>
      </c>
      <c r="BV66" s="66">
        <f t="shared" si="121"/>
        <v>0</v>
      </c>
      <c r="BW66" s="66">
        <f t="shared" si="122"/>
        <v>0</v>
      </c>
      <c r="BX66" s="66">
        <f t="shared" si="123"/>
        <v>0</v>
      </c>
      <c r="BY66" s="66">
        <f t="shared" si="124"/>
        <v>0</v>
      </c>
      <c r="BZ66" s="66">
        <f t="shared" si="125"/>
        <v>0</v>
      </c>
      <c r="CA66" s="66"/>
      <c r="CB66" s="66">
        <f t="shared" si="126"/>
        <v>0</v>
      </c>
      <c r="CC66" s="22">
        <f t="shared" si="92"/>
        <v>0.31316869557654986</v>
      </c>
      <c r="CD66" s="66">
        <f t="shared" si="127"/>
        <v>74497071</v>
      </c>
      <c r="CE66" s="66"/>
      <c r="CF66" s="66"/>
      <c r="CG66" s="66"/>
      <c r="CH66" s="66"/>
      <c r="CI66" s="66"/>
      <c r="CJ66" s="66"/>
      <c r="CK66" s="66"/>
      <c r="CL66" s="66">
        <f>+'[1]OCTUBRE 2019'!$H$2698-CN66</f>
        <v>70054769</v>
      </c>
      <c r="CM66" s="66"/>
      <c r="CN66" s="66">
        <f>+'[1]OCTUBRE 2019'!$H$2761</f>
        <v>4442302</v>
      </c>
      <c r="CO66" s="66"/>
      <c r="CP66" s="66"/>
      <c r="CQ66" s="66"/>
      <c r="CR66" s="66"/>
      <c r="CS66" s="66"/>
      <c r="CT66" s="66"/>
      <c r="CU66" s="66"/>
      <c r="CV66" s="66"/>
      <c r="CW66" s="66"/>
      <c r="CX66" s="66"/>
      <c r="CY66" s="66"/>
      <c r="CZ66" s="66"/>
      <c r="DA66" s="66"/>
      <c r="DB66" s="22">
        <f t="shared" si="93"/>
        <v>0.6868313044234502</v>
      </c>
      <c r="DC66" s="66">
        <f t="shared" si="128"/>
        <v>163384531</v>
      </c>
      <c r="DD66" s="66">
        <f t="shared" si="129"/>
        <v>0</v>
      </c>
      <c r="DE66" s="66">
        <f t="shared" si="130"/>
        <v>0</v>
      </c>
      <c r="DF66" s="66">
        <f t="shared" si="131"/>
        <v>0</v>
      </c>
      <c r="DG66" s="66">
        <f t="shared" si="132"/>
        <v>0</v>
      </c>
      <c r="DH66" s="66">
        <f t="shared" si="133"/>
        <v>0</v>
      </c>
      <c r="DI66" s="66">
        <f t="shared" si="134"/>
        <v>0</v>
      </c>
      <c r="DJ66" s="66">
        <f t="shared" si="135"/>
        <v>0</v>
      </c>
      <c r="DK66" s="66">
        <f t="shared" si="136"/>
        <v>29945231</v>
      </c>
      <c r="DL66" s="66">
        <f t="shared" si="137"/>
        <v>45960534</v>
      </c>
      <c r="DM66" s="66">
        <f t="shared" si="138"/>
        <v>41518232</v>
      </c>
      <c r="DN66" s="66">
        <f t="shared" si="139"/>
        <v>45960534</v>
      </c>
      <c r="DO66" s="66">
        <f t="shared" si="140"/>
        <v>0</v>
      </c>
      <c r="DP66" s="66">
        <f t="shared" si="141"/>
        <v>0</v>
      </c>
      <c r="DQ66" s="66">
        <f t="shared" si="142"/>
        <v>0</v>
      </c>
      <c r="DR66" s="66">
        <f t="shared" si="143"/>
        <v>0</v>
      </c>
      <c r="DS66" s="66">
        <f t="shared" si="144"/>
        <v>0</v>
      </c>
      <c r="DT66" s="66">
        <f t="shared" si="145"/>
        <v>0</v>
      </c>
      <c r="DU66" s="66">
        <f t="shared" si="146"/>
        <v>0</v>
      </c>
      <c r="DV66" s="66">
        <f t="shared" si="147"/>
        <v>0</v>
      </c>
      <c r="DW66" s="66">
        <f t="shared" si="148"/>
        <v>0</v>
      </c>
      <c r="DX66" s="66">
        <f t="shared" si="149"/>
        <v>0</v>
      </c>
      <c r="DY66" s="66"/>
      <c r="DZ66" s="66">
        <f t="shared" si="150"/>
        <v>0</v>
      </c>
      <c r="EB66" s="9">
        <f t="shared" si="94"/>
        <v>237881602</v>
      </c>
      <c r="EC66" s="9">
        <f t="shared" si="95"/>
        <v>237881602</v>
      </c>
      <c r="ED66" s="9">
        <f t="shared" si="96"/>
        <v>237881602</v>
      </c>
    </row>
    <row r="67" spans="1:134" ht="39.6" customHeight="1" x14ac:dyDescent="0.3">
      <c r="A67" s="207"/>
      <c r="B67" s="234"/>
      <c r="C67" s="70" t="s">
        <v>215</v>
      </c>
      <c r="D67" s="69" t="s">
        <v>214</v>
      </c>
      <c r="E67" s="108">
        <v>410</v>
      </c>
      <c r="F67" s="67" t="s">
        <v>127</v>
      </c>
      <c r="G67" s="66">
        <f t="shared" si="102"/>
        <v>0</v>
      </c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22" t="e">
        <f t="shared" si="151"/>
        <v>#DIV/0!</v>
      </c>
      <c r="AF67" s="66">
        <f t="shared" si="103"/>
        <v>0</v>
      </c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6"/>
      <c r="AV67" s="66"/>
      <c r="AW67" s="66"/>
      <c r="AX67" s="66"/>
      <c r="AY67" s="66"/>
      <c r="AZ67" s="66"/>
      <c r="BA67" s="66"/>
      <c r="BB67" s="66"/>
      <c r="BC67" s="66"/>
      <c r="BD67" s="22" t="e">
        <f t="shared" si="91"/>
        <v>#DIV/0!</v>
      </c>
      <c r="BE67" s="66">
        <f t="shared" si="104"/>
        <v>0</v>
      </c>
      <c r="BF67" s="66">
        <f t="shared" si="105"/>
        <v>0</v>
      </c>
      <c r="BG67" s="66">
        <f t="shared" si="106"/>
        <v>0</v>
      </c>
      <c r="BH67" s="66">
        <f t="shared" si="107"/>
        <v>0</v>
      </c>
      <c r="BI67" s="66">
        <f t="shared" si="108"/>
        <v>0</v>
      </c>
      <c r="BJ67" s="66">
        <f t="shared" si="109"/>
        <v>0</v>
      </c>
      <c r="BK67" s="66">
        <f t="shared" si="110"/>
        <v>0</v>
      </c>
      <c r="BL67" s="66">
        <f t="shared" si="111"/>
        <v>0</v>
      </c>
      <c r="BM67" s="66">
        <f t="shared" si="112"/>
        <v>0</v>
      </c>
      <c r="BN67" s="66">
        <f t="shared" si="113"/>
        <v>0</v>
      </c>
      <c r="BO67" s="66">
        <f t="shared" si="114"/>
        <v>0</v>
      </c>
      <c r="BP67" s="66">
        <f t="shared" si="115"/>
        <v>0</v>
      </c>
      <c r="BQ67" s="66">
        <f t="shared" si="116"/>
        <v>0</v>
      </c>
      <c r="BR67" s="66">
        <f t="shared" si="117"/>
        <v>0</v>
      </c>
      <c r="BS67" s="66">
        <f t="shared" si="118"/>
        <v>0</v>
      </c>
      <c r="BT67" s="66">
        <f t="shared" si="119"/>
        <v>0</v>
      </c>
      <c r="BU67" s="66">
        <f t="shared" si="120"/>
        <v>0</v>
      </c>
      <c r="BV67" s="66">
        <f t="shared" si="121"/>
        <v>0</v>
      </c>
      <c r="BW67" s="66">
        <f t="shared" si="122"/>
        <v>0</v>
      </c>
      <c r="BX67" s="66">
        <f t="shared" si="123"/>
        <v>0</v>
      </c>
      <c r="BY67" s="66">
        <f t="shared" si="124"/>
        <v>0</v>
      </c>
      <c r="BZ67" s="66">
        <f t="shared" si="125"/>
        <v>0</v>
      </c>
      <c r="CA67" s="66"/>
      <c r="CB67" s="66">
        <f t="shared" si="126"/>
        <v>0</v>
      </c>
      <c r="CC67" s="22" t="e">
        <f t="shared" si="92"/>
        <v>#DIV/0!</v>
      </c>
      <c r="CD67" s="66">
        <f t="shared" si="127"/>
        <v>0</v>
      </c>
      <c r="CE67" s="66"/>
      <c r="CF67" s="66"/>
      <c r="CG67" s="66"/>
      <c r="CH67" s="66"/>
      <c r="CI67" s="66"/>
      <c r="CJ67" s="66"/>
      <c r="CK67" s="66"/>
      <c r="CL67" s="66"/>
      <c r="CM67" s="66"/>
      <c r="CN67" s="66"/>
      <c r="CO67" s="66"/>
      <c r="CP67" s="66"/>
      <c r="CQ67" s="66"/>
      <c r="CR67" s="66"/>
      <c r="CS67" s="66"/>
      <c r="CT67" s="66"/>
      <c r="CU67" s="66"/>
      <c r="CV67" s="66"/>
      <c r="CW67" s="66"/>
      <c r="CX67" s="66"/>
      <c r="CY67" s="66"/>
      <c r="CZ67" s="66"/>
      <c r="DA67" s="66"/>
      <c r="DB67" s="22" t="e">
        <f t="shared" si="93"/>
        <v>#DIV/0!</v>
      </c>
      <c r="DC67" s="66">
        <f t="shared" si="128"/>
        <v>0</v>
      </c>
      <c r="DD67" s="66">
        <f t="shared" si="129"/>
        <v>0</v>
      </c>
      <c r="DE67" s="66">
        <f t="shared" si="130"/>
        <v>0</v>
      </c>
      <c r="DF67" s="66">
        <f t="shared" si="131"/>
        <v>0</v>
      </c>
      <c r="DG67" s="66">
        <f t="shared" si="132"/>
        <v>0</v>
      </c>
      <c r="DH67" s="66">
        <f t="shared" si="133"/>
        <v>0</v>
      </c>
      <c r="DI67" s="66">
        <f t="shared" si="134"/>
        <v>0</v>
      </c>
      <c r="DJ67" s="66">
        <f t="shared" si="135"/>
        <v>0</v>
      </c>
      <c r="DK67" s="66">
        <f t="shared" si="136"/>
        <v>0</v>
      </c>
      <c r="DL67" s="66">
        <f t="shared" si="137"/>
        <v>0</v>
      </c>
      <c r="DM67" s="66">
        <f t="shared" si="138"/>
        <v>0</v>
      </c>
      <c r="DN67" s="66">
        <f t="shared" si="139"/>
        <v>0</v>
      </c>
      <c r="DO67" s="66">
        <f t="shared" si="140"/>
        <v>0</v>
      </c>
      <c r="DP67" s="66">
        <f t="shared" si="141"/>
        <v>0</v>
      </c>
      <c r="DQ67" s="66">
        <f t="shared" si="142"/>
        <v>0</v>
      </c>
      <c r="DR67" s="66">
        <f t="shared" si="143"/>
        <v>0</v>
      </c>
      <c r="DS67" s="66">
        <f t="shared" si="144"/>
        <v>0</v>
      </c>
      <c r="DT67" s="66">
        <f t="shared" si="145"/>
        <v>0</v>
      </c>
      <c r="DU67" s="66">
        <f t="shared" si="146"/>
        <v>0</v>
      </c>
      <c r="DV67" s="66">
        <f t="shared" si="147"/>
        <v>0</v>
      </c>
      <c r="DW67" s="66">
        <f t="shared" si="148"/>
        <v>0</v>
      </c>
      <c r="DX67" s="66">
        <f t="shared" si="149"/>
        <v>0</v>
      </c>
      <c r="DY67" s="66"/>
      <c r="DZ67" s="66">
        <f t="shared" si="150"/>
        <v>0</v>
      </c>
      <c r="EB67" s="9">
        <f t="shared" si="94"/>
        <v>0</v>
      </c>
      <c r="EC67" s="9">
        <f t="shared" si="95"/>
        <v>0</v>
      </c>
      <c r="ED67" s="9">
        <f t="shared" si="96"/>
        <v>0</v>
      </c>
    </row>
    <row r="68" spans="1:134" ht="20.399999999999999" customHeight="1" x14ac:dyDescent="0.3">
      <c r="A68" s="207"/>
      <c r="B68" s="234"/>
      <c r="C68" s="121" t="s">
        <v>213</v>
      </c>
      <c r="D68" s="69" t="s">
        <v>212</v>
      </c>
      <c r="E68" s="87">
        <v>410</v>
      </c>
      <c r="F68" s="67" t="s">
        <v>127</v>
      </c>
      <c r="G68" s="66">
        <f t="shared" si="102"/>
        <v>0</v>
      </c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22" t="e">
        <f t="shared" si="151"/>
        <v>#DIV/0!</v>
      </c>
      <c r="AF68" s="66">
        <f t="shared" si="103"/>
        <v>0</v>
      </c>
      <c r="AG68" s="66"/>
      <c r="AH68" s="66"/>
      <c r="AI68" s="66"/>
      <c r="AJ68" s="66"/>
      <c r="AK68" s="66"/>
      <c r="AL68" s="66"/>
      <c r="AM68" s="66"/>
      <c r="AN68" s="66"/>
      <c r="AO68" s="66"/>
      <c r="AP68" s="66"/>
      <c r="AQ68" s="66"/>
      <c r="AR68" s="66"/>
      <c r="AS68" s="66"/>
      <c r="AT68" s="66"/>
      <c r="AU68" s="66"/>
      <c r="AV68" s="66"/>
      <c r="AW68" s="66"/>
      <c r="AX68" s="66"/>
      <c r="AY68" s="66"/>
      <c r="AZ68" s="66"/>
      <c r="BA68" s="66"/>
      <c r="BB68" s="66"/>
      <c r="BC68" s="66"/>
      <c r="BD68" s="22" t="e">
        <f t="shared" ref="BD68:BD99" si="152">1-AE68</f>
        <v>#DIV/0!</v>
      </c>
      <c r="BE68" s="66">
        <f t="shared" si="104"/>
        <v>0</v>
      </c>
      <c r="BF68" s="66">
        <f t="shared" si="105"/>
        <v>0</v>
      </c>
      <c r="BG68" s="66">
        <f t="shared" si="106"/>
        <v>0</v>
      </c>
      <c r="BH68" s="66">
        <f t="shared" si="107"/>
        <v>0</v>
      </c>
      <c r="BI68" s="66">
        <f t="shared" si="108"/>
        <v>0</v>
      </c>
      <c r="BJ68" s="66">
        <f t="shared" si="109"/>
        <v>0</v>
      </c>
      <c r="BK68" s="66">
        <f t="shared" si="110"/>
        <v>0</v>
      </c>
      <c r="BL68" s="66">
        <f t="shared" si="111"/>
        <v>0</v>
      </c>
      <c r="BM68" s="66">
        <f t="shared" si="112"/>
        <v>0</v>
      </c>
      <c r="BN68" s="66">
        <f t="shared" si="113"/>
        <v>0</v>
      </c>
      <c r="BO68" s="66">
        <f t="shared" si="114"/>
        <v>0</v>
      </c>
      <c r="BP68" s="66">
        <f t="shared" si="115"/>
        <v>0</v>
      </c>
      <c r="BQ68" s="66">
        <f t="shared" si="116"/>
        <v>0</v>
      </c>
      <c r="BR68" s="66">
        <f t="shared" si="117"/>
        <v>0</v>
      </c>
      <c r="BS68" s="66">
        <f t="shared" si="118"/>
        <v>0</v>
      </c>
      <c r="BT68" s="66">
        <f t="shared" si="119"/>
        <v>0</v>
      </c>
      <c r="BU68" s="66">
        <f t="shared" si="120"/>
        <v>0</v>
      </c>
      <c r="BV68" s="66">
        <f t="shared" si="121"/>
        <v>0</v>
      </c>
      <c r="BW68" s="66">
        <f t="shared" si="122"/>
        <v>0</v>
      </c>
      <c r="BX68" s="66">
        <f t="shared" si="123"/>
        <v>0</v>
      </c>
      <c r="BY68" s="66">
        <f t="shared" si="124"/>
        <v>0</v>
      </c>
      <c r="BZ68" s="66">
        <f t="shared" si="125"/>
        <v>0</v>
      </c>
      <c r="CA68" s="66"/>
      <c r="CB68" s="66">
        <f t="shared" si="126"/>
        <v>0</v>
      </c>
      <c r="CC68" s="22" t="e">
        <f t="shared" ref="CC68:CC99" si="153">+CD68/G68</f>
        <v>#DIV/0!</v>
      </c>
      <c r="CD68" s="66">
        <f t="shared" si="127"/>
        <v>0</v>
      </c>
      <c r="CE68" s="66"/>
      <c r="CF68" s="66"/>
      <c r="CG68" s="66"/>
      <c r="CH68" s="66"/>
      <c r="CI68" s="66"/>
      <c r="CJ68" s="66"/>
      <c r="CK68" s="66"/>
      <c r="CL68" s="66"/>
      <c r="CM68" s="66"/>
      <c r="CN68" s="66"/>
      <c r="CO68" s="66"/>
      <c r="CP68" s="66"/>
      <c r="CQ68" s="66"/>
      <c r="CR68" s="66"/>
      <c r="CS68" s="66"/>
      <c r="CT68" s="66"/>
      <c r="CU68" s="66"/>
      <c r="CV68" s="66"/>
      <c r="CW68" s="66"/>
      <c r="CX68" s="66"/>
      <c r="CY68" s="66"/>
      <c r="CZ68" s="66"/>
      <c r="DA68" s="66"/>
      <c r="DB68" s="22" t="e">
        <f t="shared" ref="DB68:DB99" si="154">1-CC68</f>
        <v>#DIV/0!</v>
      </c>
      <c r="DC68" s="66">
        <f t="shared" si="128"/>
        <v>0</v>
      </c>
      <c r="DD68" s="66">
        <f t="shared" si="129"/>
        <v>0</v>
      </c>
      <c r="DE68" s="66">
        <f t="shared" si="130"/>
        <v>0</v>
      </c>
      <c r="DF68" s="66">
        <f t="shared" si="131"/>
        <v>0</v>
      </c>
      <c r="DG68" s="66">
        <f t="shared" si="132"/>
        <v>0</v>
      </c>
      <c r="DH68" s="66">
        <f t="shared" si="133"/>
        <v>0</v>
      </c>
      <c r="DI68" s="66">
        <f t="shared" si="134"/>
        <v>0</v>
      </c>
      <c r="DJ68" s="66">
        <f t="shared" si="135"/>
        <v>0</v>
      </c>
      <c r="DK68" s="66">
        <f t="shared" si="136"/>
        <v>0</v>
      </c>
      <c r="DL68" s="66">
        <f t="shared" si="137"/>
        <v>0</v>
      </c>
      <c r="DM68" s="66">
        <f t="shared" si="138"/>
        <v>0</v>
      </c>
      <c r="DN68" s="66">
        <f t="shared" si="139"/>
        <v>0</v>
      </c>
      <c r="DO68" s="66">
        <f t="shared" si="140"/>
        <v>0</v>
      </c>
      <c r="DP68" s="66">
        <f t="shared" si="141"/>
        <v>0</v>
      </c>
      <c r="DQ68" s="66">
        <f t="shared" si="142"/>
        <v>0</v>
      </c>
      <c r="DR68" s="66">
        <f t="shared" si="143"/>
        <v>0</v>
      </c>
      <c r="DS68" s="66">
        <f t="shared" si="144"/>
        <v>0</v>
      </c>
      <c r="DT68" s="66">
        <f t="shared" si="145"/>
        <v>0</v>
      </c>
      <c r="DU68" s="66">
        <f t="shared" si="146"/>
        <v>0</v>
      </c>
      <c r="DV68" s="66">
        <f t="shared" si="147"/>
        <v>0</v>
      </c>
      <c r="DW68" s="66">
        <f t="shared" si="148"/>
        <v>0</v>
      </c>
      <c r="DX68" s="66">
        <f t="shared" si="149"/>
        <v>0</v>
      </c>
      <c r="DY68" s="66"/>
      <c r="DZ68" s="66">
        <f t="shared" si="150"/>
        <v>0</v>
      </c>
      <c r="EB68" s="9">
        <f t="shared" ref="EB68:EB99" si="155">+G68</f>
        <v>0</v>
      </c>
      <c r="EC68" s="9">
        <f t="shared" ref="EC68:EC99" si="156">+AF68+BE68</f>
        <v>0</v>
      </c>
      <c r="ED68" s="9">
        <f t="shared" ref="ED68:ED99" si="157">+CD68+DC68</f>
        <v>0</v>
      </c>
    </row>
    <row r="69" spans="1:134" ht="28.2" customHeight="1" x14ac:dyDescent="0.3">
      <c r="A69" s="207"/>
      <c r="B69" s="234"/>
      <c r="C69" s="121" t="s">
        <v>211</v>
      </c>
      <c r="D69" s="69" t="s">
        <v>210</v>
      </c>
      <c r="E69" s="87">
        <v>410</v>
      </c>
      <c r="F69" s="67" t="s">
        <v>127</v>
      </c>
      <c r="G69" s="66">
        <f t="shared" si="102"/>
        <v>2120000</v>
      </c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>
        <v>2120000</v>
      </c>
      <c r="AA69" s="66"/>
      <c r="AB69" s="66"/>
      <c r="AC69" s="66"/>
      <c r="AD69" s="66"/>
      <c r="AE69" s="22">
        <f t="shared" si="151"/>
        <v>0.12570754716981133</v>
      </c>
      <c r="AF69" s="66">
        <f t="shared" si="103"/>
        <v>266500</v>
      </c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66">
        <f>+'[2]SEPTIEMBRE 2019'!$AB$2447</f>
        <v>266500</v>
      </c>
      <c r="AZ69" s="66"/>
      <c r="BA69" s="66"/>
      <c r="BB69" s="66"/>
      <c r="BC69" s="66"/>
      <c r="BD69" s="22">
        <f t="shared" si="152"/>
        <v>0.87429245283018864</v>
      </c>
      <c r="BE69" s="66">
        <f t="shared" si="104"/>
        <v>1853500</v>
      </c>
      <c r="BF69" s="66">
        <f t="shared" si="105"/>
        <v>0</v>
      </c>
      <c r="BG69" s="66">
        <f t="shared" si="106"/>
        <v>0</v>
      </c>
      <c r="BH69" s="66">
        <f t="shared" si="107"/>
        <v>0</v>
      </c>
      <c r="BI69" s="66">
        <f t="shared" si="108"/>
        <v>0</v>
      </c>
      <c r="BJ69" s="66">
        <f t="shared" si="109"/>
        <v>0</v>
      </c>
      <c r="BK69" s="66">
        <f t="shared" si="110"/>
        <v>0</v>
      </c>
      <c r="BL69" s="66">
        <f t="shared" si="111"/>
        <v>0</v>
      </c>
      <c r="BM69" s="66">
        <f t="shared" si="112"/>
        <v>0</v>
      </c>
      <c r="BN69" s="66">
        <f t="shared" si="113"/>
        <v>0</v>
      </c>
      <c r="BO69" s="66">
        <f t="shared" si="114"/>
        <v>0</v>
      </c>
      <c r="BP69" s="66">
        <f t="shared" si="115"/>
        <v>0</v>
      </c>
      <c r="BQ69" s="66">
        <f t="shared" si="116"/>
        <v>0</v>
      </c>
      <c r="BR69" s="66">
        <f t="shared" si="117"/>
        <v>0</v>
      </c>
      <c r="BS69" s="66">
        <f t="shared" si="118"/>
        <v>0</v>
      </c>
      <c r="BT69" s="66">
        <f t="shared" si="119"/>
        <v>0</v>
      </c>
      <c r="BU69" s="66">
        <f t="shared" si="120"/>
        <v>0</v>
      </c>
      <c r="BV69" s="66">
        <f t="shared" si="121"/>
        <v>0</v>
      </c>
      <c r="BW69" s="66">
        <f t="shared" si="122"/>
        <v>0</v>
      </c>
      <c r="BX69" s="66">
        <f t="shared" si="123"/>
        <v>1853500</v>
      </c>
      <c r="BY69" s="66">
        <f t="shared" si="124"/>
        <v>0</v>
      </c>
      <c r="BZ69" s="66">
        <f t="shared" si="125"/>
        <v>0</v>
      </c>
      <c r="CA69" s="66"/>
      <c r="CB69" s="66">
        <f t="shared" si="126"/>
        <v>0</v>
      </c>
      <c r="CC69" s="22">
        <f t="shared" si="153"/>
        <v>0.12570754716981133</v>
      </c>
      <c r="CD69" s="66">
        <f t="shared" si="127"/>
        <v>266500</v>
      </c>
      <c r="CE69" s="66"/>
      <c r="CF69" s="66"/>
      <c r="CG69" s="66"/>
      <c r="CH69" s="66"/>
      <c r="CI69" s="66"/>
      <c r="CJ69" s="66"/>
      <c r="CK69" s="66"/>
      <c r="CL69" s="66"/>
      <c r="CM69" s="66"/>
      <c r="CN69" s="66"/>
      <c r="CO69" s="66"/>
      <c r="CP69" s="66"/>
      <c r="CQ69" s="66"/>
      <c r="CR69" s="66"/>
      <c r="CS69" s="66"/>
      <c r="CT69" s="66"/>
      <c r="CU69" s="66"/>
      <c r="CV69" s="66"/>
      <c r="CW69" s="66">
        <f>+'[2]SEPTIEMBRE 2019'!$H$2445</f>
        <v>266500</v>
      </c>
      <c r="CX69" s="66"/>
      <c r="CY69" s="66"/>
      <c r="CZ69" s="66"/>
      <c r="DA69" s="66"/>
      <c r="DB69" s="22">
        <f t="shared" si="154"/>
        <v>0.87429245283018864</v>
      </c>
      <c r="DC69" s="66">
        <f t="shared" si="128"/>
        <v>1853500</v>
      </c>
      <c r="DD69" s="66">
        <f t="shared" si="129"/>
        <v>0</v>
      </c>
      <c r="DE69" s="66">
        <f t="shared" si="130"/>
        <v>0</v>
      </c>
      <c r="DF69" s="66">
        <f t="shared" si="131"/>
        <v>0</v>
      </c>
      <c r="DG69" s="66">
        <f t="shared" si="132"/>
        <v>0</v>
      </c>
      <c r="DH69" s="66">
        <f t="shared" si="133"/>
        <v>0</v>
      </c>
      <c r="DI69" s="66">
        <f t="shared" si="134"/>
        <v>0</v>
      </c>
      <c r="DJ69" s="66">
        <f t="shared" si="135"/>
        <v>0</v>
      </c>
      <c r="DK69" s="66">
        <f t="shared" si="136"/>
        <v>0</v>
      </c>
      <c r="DL69" s="66">
        <f t="shared" si="137"/>
        <v>0</v>
      </c>
      <c r="DM69" s="66">
        <f t="shared" si="138"/>
        <v>0</v>
      </c>
      <c r="DN69" s="66">
        <f t="shared" si="139"/>
        <v>0</v>
      </c>
      <c r="DO69" s="66">
        <f t="shared" si="140"/>
        <v>0</v>
      </c>
      <c r="DP69" s="66">
        <f t="shared" si="141"/>
        <v>0</v>
      </c>
      <c r="DQ69" s="66">
        <f t="shared" si="142"/>
        <v>0</v>
      </c>
      <c r="DR69" s="66">
        <f t="shared" si="143"/>
        <v>0</v>
      </c>
      <c r="DS69" s="66">
        <f t="shared" si="144"/>
        <v>0</v>
      </c>
      <c r="DT69" s="66">
        <f t="shared" si="145"/>
        <v>0</v>
      </c>
      <c r="DU69" s="66">
        <f t="shared" si="146"/>
        <v>0</v>
      </c>
      <c r="DV69" s="66">
        <f t="shared" si="147"/>
        <v>1853500</v>
      </c>
      <c r="DW69" s="66">
        <f t="shared" si="148"/>
        <v>0</v>
      </c>
      <c r="DX69" s="66">
        <f t="shared" si="149"/>
        <v>0</v>
      </c>
      <c r="DY69" s="66"/>
      <c r="DZ69" s="66">
        <f t="shared" si="150"/>
        <v>0</v>
      </c>
      <c r="EB69" s="9">
        <f t="shared" si="155"/>
        <v>2120000</v>
      </c>
      <c r="EC69" s="9">
        <f t="shared" si="156"/>
        <v>2120000</v>
      </c>
      <c r="ED69" s="9">
        <f t="shared" si="157"/>
        <v>2120000</v>
      </c>
    </row>
    <row r="70" spans="1:134" ht="28.8" customHeight="1" x14ac:dyDescent="0.3">
      <c r="A70" s="207"/>
      <c r="B70" s="234"/>
      <c r="C70" s="121" t="s">
        <v>209</v>
      </c>
      <c r="D70" s="69" t="s">
        <v>208</v>
      </c>
      <c r="E70" s="87">
        <v>410</v>
      </c>
      <c r="F70" s="67" t="s">
        <v>127</v>
      </c>
      <c r="G70" s="66">
        <f t="shared" si="102"/>
        <v>4000000</v>
      </c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>
        <v>4000000</v>
      </c>
      <c r="AA70" s="66"/>
      <c r="AB70" s="66"/>
      <c r="AC70" s="66"/>
      <c r="AD70" s="66"/>
      <c r="AE70" s="22">
        <f t="shared" si="151"/>
        <v>0</v>
      </c>
      <c r="AF70" s="66">
        <f t="shared" si="103"/>
        <v>0</v>
      </c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6"/>
      <c r="AY70" s="66"/>
      <c r="AZ70" s="66"/>
      <c r="BA70" s="66"/>
      <c r="BB70" s="66"/>
      <c r="BC70" s="66"/>
      <c r="BD70" s="22">
        <f t="shared" si="152"/>
        <v>1</v>
      </c>
      <c r="BE70" s="66">
        <f t="shared" si="104"/>
        <v>4000000</v>
      </c>
      <c r="BF70" s="66">
        <f t="shared" si="105"/>
        <v>0</v>
      </c>
      <c r="BG70" s="66">
        <f t="shared" si="106"/>
        <v>0</v>
      </c>
      <c r="BH70" s="66">
        <f t="shared" si="107"/>
        <v>0</v>
      </c>
      <c r="BI70" s="66">
        <f t="shared" si="108"/>
        <v>0</v>
      </c>
      <c r="BJ70" s="66">
        <f t="shared" si="109"/>
        <v>0</v>
      </c>
      <c r="BK70" s="66">
        <f t="shared" si="110"/>
        <v>0</v>
      </c>
      <c r="BL70" s="66">
        <f t="shared" si="111"/>
        <v>0</v>
      </c>
      <c r="BM70" s="66">
        <f t="shared" si="112"/>
        <v>0</v>
      </c>
      <c r="BN70" s="66">
        <f t="shared" si="113"/>
        <v>0</v>
      </c>
      <c r="BO70" s="66">
        <f t="shared" si="114"/>
        <v>0</v>
      </c>
      <c r="BP70" s="66">
        <f t="shared" si="115"/>
        <v>0</v>
      </c>
      <c r="BQ70" s="66">
        <f t="shared" si="116"/>
        <v>0</v>
      </c>
      <c r="BR70" s="66">
        <f t="shared" si="117"/>
        <v>0</v>
      </c>
      <c r="BS70" s="66">
        <f t="shared" si="118"/>
        <v>0</v>
      </c>
      <c r="BT70" s="66">
        <f t="shared" si="119"/>
        <v>0</v>
      </c>
      <c r="BU70" s="66">
        <f t="shared" si="120"/>
        <v>0</v>
      </c>
      <c r="BV70" s="66">
        <f t="shared" si="121"/>
        <v>0</v>
      </c>
      <c r="BW70" s="66">
        <f t="shared" si="122"/>
        <v>0</v>
      </c>
      <c r="BX70" s="66">
        <f t="shared" si="123"/>
        <v>4000000</v>
      </c>
      <c r="BY70" s="66">
        <f t="shared" si="124"/>
        <v>0</v>
      </c>
      <c r="BZ70" s="66">
        <f t="shared" si="125"/>
        <v>0</v>
      </c>
      <c r="CA70" s="66"/>
      <c r="CB70" s="66">
        <f t="shared" si="126"/>
        <v>0</v>
      </c>
      <c r="CC70" s="22">
        <f t="shared" si="153"/>
        <v>0</v>
      </c>
      <c r="CD70" s="66">
        <f t="shared" si="127"/>
        <v>0</v>
      </c>
      <c r="CE70" s="66"/>
      <c r="CF70" s="66"/>
      <c r="CG70" s="66"/>
      <c r="CH70" s="66"/>
      <c r="CI70" s="66"/>
      <c r="CJ70" s="66"/>
      <c r="CK70" s="66"/>
      <c r="CL70" s="66"/>
      <c r="CM70" s="66"/>
      <c r="CN70" s="66"/>
      <c r="CO70" s="66"/>
      <c r="CP70" s="66"/>
      <c r="CQ70" s="66"/>
      <c r="CR70" s="66"/>
      <c r="CS70" s="66"/>
      <c r="CT70" s="66"/>
      <c r="CU70" s="66"/>
      <c r="CV70" s="66"/>
      <c r="CW70" s="66"/>
      <c r="CX70" s="66"/>
      <c r="CY70" s="66"/>
      <c r="CZ70" s="66"/>
      <c r="DA70" s="66"/>
      <c r="DB70" s="22">
        <f t="shared" si="154"/>
        <v>1</v>
      </c>
      <c r="DC70" s="66">
        <f t="shared" si="128"/>
        <v>4000000</v>
      </c>
      <c r="DD70" s="66">
        <f t="shared" si="129"/>
        <v>0</v>
      </c>
      <c r="DE70" s="66">
        <f t="shared" si="130"/>
        <v>0</v>
      </c>
      <c r="DF70" s="66">
        <f t="shared" si="131"/>
        <v>0</v>
      </c>
      <c r="DG70" s="66">
        <f t="shared" si="132"/>
        <v>0</v>
      </c>
      <c r="DH70" s="66">
        <f t="shared" si="133"/>
        <v>0</v>
      </c>
      <c r="DI70" s="66">
        <f t="shared" si="134"/>
        <v>0</v>
      </c>
      <c r="DJ70" s="66">
        <f t="shared" si="135"/>
        <v>0</v>
      </c>
      <c r="DK70" s="66">
        <f t="shared" si="136"/>
        <v>0</v>
      </c>
      <c r="DL70" s="66">
        <f t="shared" si="137"/>
        <v>0</v>
      </c>
      <c r="DM70" s="66">
        <f t="shared" si="138"/>
        <v>0</v>
      </c>
      <c r="DN70" s="66">
        <f t="shared" si="139"/>
        <v>0</v>
      </c>
      <c r="DO70" s="66">
        <f t="shared" si="140"/>
        <v>0</v>
      </c>
      <c r="DP70" s="66">
        <f t="shared" si="141"/>
        <v>0</v>
      </c>
      <c r="DQ70" s="66">
        <f t="shared" si="142"/>
        <v>0</v>
      </c>
      <c r="DR70" s="66">
        <f t="shared" si="143"/>
        <v>0</v>
      </c>
      <c r="DS70" s="66">
        <f t="shared" si="144"/>
        <v>0</v>
      </c>
      <c r="DT70" s="66">
        <f t="shared" si="145"/>
        <v>0</v>
      </c>
      <c r="DU70" s="66">
        <f t="shared" si="146"/>
        <v>0</v>
      </c>
      <c r="DV70" s="66">
        <f t="shared" si="147"/>
        <v>4000000</v>
      </c>
      <c r="DW70" s="66">
        <f t="shared" si="148"/>
        <v>0</v>
      </c>
      <c r="DX70" s="66">
        <f t="shared" si="149"/>
        <v>0</v>
      </c>
      <c r="DY70" s="66"/>
      <c r="DZ70" s="66">
        <f t="shared" si="150"/>
        <v>0</v>
      </c>
      <c r="EB70" s="9">
        <f t="shared" si="155"/>
        <v>4000000</v>
      </c>
      <c r="EC70" s="9">
        <f t="shared" si="156"/>
        <v>4000000</v>
      </c>
      <c r="ED70" s="9">
        <f t="shared" si="157"/>
        <v>4000000</v>
      </c>
    </row>
    <row r="71" spans="1:134" ht="15" customHeight="1" x14ac:dyDescent="0.3">
      <c r="A71" s="207"/>
      <c r="B71" s="220"/>
      <c r="C71" s="121" t="s">
        <v>207</v>
      </c>
      <c r="D71" s="69" t="s">
        <v>206</v>
      </c>
      <c r="E71" s="87">
        <v>410</v>
      </c>
      <c r="F71" s="67" t="s">
        <v>127</v>
      </c>
      <c r="G71" s="66">
        <f t="shared" si="102"/>
        <v>152000000</v>
      </c>
      <c r="H71" s="66"/>
      <c r="I71" s="66"/>
      <c r="J71" s="66"/>
      <c r="K71" s="66"/>
      <c r="L71" s="66"/>
      <c r="M71" s="66"/>
      <c r="N71" s="66"/>
      <c r="O71" s="66">
        <f>80000000+42000000</f>
        <v>122000000</v>
      </c>
      <c r="P71" s="66"/>
      <c r="Q71" s="66"/>
      <c r="R71" s="66"/>
      <c r="S71" s="66">
        <f>30000000</f>
        <v>30000000</v>
      </c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  <c r="AE71" s="22">
        <f t="shared" si="151"/>
        <v>0.57697543421052633</v>
      </c>
      <c r="AF71" s="66">
        <f t="shared" si="103"/>
        <v>87700266</v>
      </c>
      <c r="AG71" s="66"/>
      <c r="AH71" s="66"/>
      <c r="AI71" s="66"/>
      <c r="AJ71" s="66"/>
      <c r="AK71" s="66"/>
      <c r="AL71" s="66"/>
      <c r="AM71" s="66"/>
      <c r="AN71" s="66">
        <f>+'[1]OCTUBRE 2019'!$Q$2792</f>
        <v>87700266</v>
      </c>
      <c r="AO71" s="66"/>
      <c r="AP71" s="66"/>
      <c r="AQ71" s="66"/>
      <c r="AR71" s="66"/>
      <c r="AS71" s="66"/>
      <c r="AT71" s="66"/>
      <c r="AU71" s="66"/>
      <c r="AV71" s="66"/>
      <c r="AW71" s="66"/>
      <c r="AX71" s="66"/>
      <c r="AY71" s="66"/>
      <c r="AZ71" s="66"/>
      <c r="BA71" s="66"/>
      <c r="BB71" s="66"/>
      <c r="BC71" s="66"/>
      <c r="BD71" s="22">
        <f t="shared" si="152"/>
        <v>0.42302456578947367</v>
      </c>
      <c r="BE71" s="66">
        <f t="shared" si="104"/>
        <v>64299734</v>
      </c>
      <c r="BF71" s="66">
        <f t="shared" si="105"/>
        <v>0</v>
      </c>
      <c r="BG71" s="66">
        <f t="shared" si="106"/>
        <v>0</v>
      </c>
      <c r="BH71" s="66">
        <f t="shared" si="107"/>
        <v>0</v>
      </c>
      <c r="BI71" s="66">
        <f t="shared" si="108"/>
        <v>0</v>
      </c>
      <c r="BJ71" s="66">
        <f t="shared" si="109"/>
        <v>0</v>
      </c>
      <c r="BK71" s="66">
        <f t="shared" si="110"/>
        <v>0</v>
      </c>
      <c r="BL71" s="66">
        <f t="shared" si="111"/>
        <v>0</v>
      </c>
      <c r="BM71" s="66">
        <f t="shared" si="112"/>
        <v>34299734</v>
      </c>
      <c r="BN71" s="66">
        <f t="shared" si="113"/>
        <v>0</v>
      </c>
      <c r="BO71" s="66">
        <f t="shared" si="114"/>
        <v>0</v>
      </c>
      <c r="BP71" s="66">
        <f t="shared" si="115"/>
        <v>0</v>
      </c>
      <c r="BQ71" s="66">
        <f t="shared" si="116"/>
        <v>30000000</v>
      </c>
      <c r="BR71" s="66">
        <f t="shared" si="117"/>
        <v>0</v>
      </c>
      <c r="BS71" s="66">
        <f t="shared" si="118"/>
        <v>0</v>
      </c>
      <c r="BT71" s="66">
        <f t="shared" si="119"/>
        <v>0</v>
      </c>
      <c r="BU71" s="66">
        <f t="shared" si="120"/>
        <v>0</v>
      </c>
      <c r="BV71" s="66">
        <f t="shared" si="121"/>
        <v>0</v>
      </c>
      <c r="BW71" s="66">
        <f t="shared" si="122"/>
        <v>0</v>
      </c>
      <c r="BX71" s="66">
        <f t="shared" si="123"/>
        <v>0</v>
      </c>
      <c r="BY71" s="66">
        <f t="shared" si="124"/>
        <v>0</v>
      </c>
      <c r="BZ71" s="66">
        <f t="shared" si="125"/>
        <v>0</v>
      </c>
      <c r="CA71" s="66"/>
      <c r="CB71" s="66">
        <f t="shared" si="126"/>
        <v>0</v>
      </c>
      <c r="CC71" s="22">
        <f t="shared" si="153"/>
        <v>0.50615305921052633</v>
      </c>
      <c r="CD71" s="66">
        <f t="shared" si="127"/>
        <v>76935265</v>
      </c>
      <c r="CE71" s="66"/>
      <c r="CF71" s="66"/>
      <c r="CG71" s="66"/>
      <c r="CH71" s="66"/>
      <c r="CI71" s="66"/>
      <c r="CJ71" s="66"/>
      <c r="CK71" s="66"/>
      <c r="CL71" s="66">
        <f>+'[1]OCTUBRE 2019'!$H$2790</f>
        <v>76935265</v>
      </c>
      <c r="CM71" s="66"/>
      <c r="CN71" s="66"/>
      <c r="CO71" s="66"/>
      <c r="CP71" s="66"/>
      <c r="CQ71" s="66"/>
      <c r="CR71" s="66"/>
      <c r="CS71" s="66"/>
      <c r="CT71" s="66"/>
      <c r="CU71" s="66"/>
      <c r="CV71" s="66"/>
      <c r="CW71" s="66"/>
      <c r="CX71" s="66"/>
      <c r="CY71" s="66"/>
      <c r="CZ71" s="66"/>
      <c r="DA71" s="66"/>
      <c r="DB71" s="22">
        <f t="shared" si="154"/>
        <v>0.49384694078947367</v>
      </c>
      <c r="DC71" s="66">
        <f t="shared" si="128"/>
        <v>75064735</v>
      </c>
      <c r="DD71" s="66">
        <f t="shared" si="129"/>
        <v>0</v>
      </c>
      <c r="DE71" s="66">
        <f t="shared" si="130"/>
        <v>0</v>
      </c>
      <c r="DF71" s="66">
        <f t="shared" si="131"/>
        <v>0</v>
      </c>
      <c r="DG71" s="66">
        <f t="shared" si="132"/>
        <v>0</v>
      </c>
      <c r="DH71" s="66">
        <f t="shared" si="133"/>
        <v>0</v>
      </c>
      <c r="DI71" s="66">
        <f t="shared" si="134"/>
        <v>0</v>
      </c>
      <c r="DJ71" s="66">
        <f t="shared" si="135"/>
        <v>0</v>
      </c>
      <c r="DK71" s="66">
        <f t="shared" si="136"/>
        <v>45064735</v>
      </c>
      <c r="DL71" s="66">
        <f t="shared" si="137"/>
        <v>0</v>
      </c>
      <c r="DM71" s="66">
        <f t="shared" si="138"/>
        <v>0</v>
      </c>
      <c r="DN71" s="66">
        <f t="shared" si="139"/>
        <v>0</v>
      </c>
      <c r="DO71" s="66">
        <f t="shared" si="140"/>
        <v>30000000</v>
      </c>
      <c r="DP71" s="66">
        <f t="shared" si="141"/>
        <v>0</v>
      </c>
      <c r="DQ71" s="66">
        <f t="shared" si="142"/>
        <v>0</v>
      </c>
      <c r="DR71" s="66">
        <f t="shared" si="143"/>
        <v>0</v>
      </c>
      <c r="DS71" s="66">
        <f t="shared" si="144"/>
        <v>0</v>
      </c>
      <c r="DT71" s="66">
        <f t="shared" si="145"/>
        <v>0</v>
      </c>
      <c r="DU71" s="66">
        <f t="shared" si="146"/>
        <v>0</v>
      </c>
      <c r="DV71" s="66">
        <f t="shared" si="147"/>
        <v>0</v>
      </c>
      <c r="DW71" s="66">
        <f t="shared" si="148"/>
        <v>0</v>
      </c>
      <c r="DX71" s="66">
        <f t="shared" si="149"/>
        <v>0</v>
      </c>
      <c r="DY71" s="66"/>
      <c r="DZ71" s="66">
        <f t="shared" si="150"/>
        <v>0</v>
      </c>
      <c r="EB71" s="9">
        <f t="shared" si="155"/>
        <v>152000000</v>
      </c>
      <c r="EC71" s="9">
        <f t="shared" si="156"/>
        <v>152000000</v>
      </c>
      <c r="ED71" s="9">
        <f t="shared" si="157"/>
        <v>152000000</v>
      </c>
    </row>
    <row r="72" spans="1:134" ht="42.6" customHeight="1" x14ac:dyDescent="0.3">
      <c r="A72" s="207"/>
      <c r="B72" s="94" t="s">
        <v>205</v>
      </c>
      <c r="C72" s="121" t="s">
        <v>204</v>
      </c>
      <c r="D72" s="71" t="s">
        <v>203</v>
      </c>
      <c r="E72" s="87">
        <v>410</v>
      </c>
      <c r="F72" s="67" t="s">
        <v>127</v>
      </c>
      <c r="G72" s="66">
        <f t="shared" si="102"/>
        <v>3757651561</v>
      </c>
      <c r="H72" s="66"/>
      <c r="I72" s="66"/>
      <c r="J72" s="66"/>
      <c r="K72" s="66"/>
      <c r="L72" s="66"/>
      <c r="M72" s="66"/>
      <c r="N72" s="66"/>
      <c r="O72" s="66">
        <f>100000000</f>
        <v>100000000</v>
      </c>
      <c r="P72" s="66"/>
      <c r="Q72" s="66"/>
      <c r="R72" s="66"/>
      <c r="S72" s="66"/>
      <c r="T72" s="66"/>
      <c r="U72" s="66"/>
      <c r="V72" s="66"/>
      <c r="W72" s="66">
        <f>3000000000+457651561</f>
        <v>3457651561</v>
      </c>
      <c r="X72" s="66"/>
      <c r="Y72" s="66"/>
      <c r="Z72" s="66">
        <v>200000000</v>
      </c>
      <c r="AA72" s="66"/>
      <c r="AB72" s="66"/>
      <c r="AC72" s="66"/>
      <c r="AD72" s="66"/>
      <c r="AE72" s="22">
        <f t="shared" si="151"/>
        <v>0.51570510212082965</v>
      </c>
      <c r="AF72" s="66">
        <f t="shared" si="103"/>
        <v>1937840082</v>
      </c>
      <c r="AG72" s="66"/>
      <c r="AH72" s="66"/>
      <c r="AI72" s="66"/>
      <c r="AJ72" s="66"/>
      <c r="AK72" s="66"/>
      <c r="AL72" s="66"/>
      <c r="AM72" s="66"/>
      <c r="AN72" s="66"/>
      <c r="AO72" s="66"/>
      <c r="AP72" s="66"/>
      <c r="AQ72" s="66"/>
      <c r="AR72" s="66"/>
      <c r="AS72" s="66"/>
      <c r="AT72" s="66"/>
      <c r="AU72" s="66"/>
      <c r="AV72" s="66">
        <f>+'[3]JULIO 2019'!$X$1802</f>
        <v>1778728458</v>
      </c>
      <c r="AW72" s="66"/>
      <c r="AX72" s="66"/>
      <c r="AY72" s="66">
        <f>+'[7]AGOSTO 2019'!$AA$2083</f>
        <v>159111624</v>
      </c>
      <c r="AZ72" s="66"/>
      <c r="BA72" s="66"/>
      <c r="BB72" s="66"/>
      <c r="BC72" s="66"/>
      <c r="BD72" s="22">
        <f t="shared" si="152"/>
        <v>0.48429489787917035</v>
      </c>
      <c r="BE72" s="66">
        <f t="shared" si="104"/>
        <v>1819811479</v>
      </c>
      <c r="BF72" s="66">
        <f t="shared" si="105"/>
        <v>0</v>
      </c>
      <c r="BG72" s="66">
        <f t="shared" si="106"/>
        <v>0</v>
      </c>
      <c r="BH72" s="66">
        <f t="shared" si="107"/>
        <v>0</v>
      </c>
      <c r="BI72" s="66">
        <f t="shared" si="108"/>
        <v>0</v>
      </c>
      <c r="BJ72" s="66">
        <f t="shared" si="109"/>
        <v>0</v>
      </c>
      <c r="BK72" s="66">
        <f t="shared" si="110"/>
        <v>0</v>
      </c>
      <c r="BL72" s="66">
        <f t="shared" si="111"/>
        <v>0</v>
      </c>
      <c r="BM72" s="66">
        <f t="shared" si="112"/>
        <v>100000000</v>
      </c>
      <c r="BN72" s="66">
        <f t="shared" si="113"/>
        <v>0</v>
      </c>
      <c r="BO72" s="66">
        <f t="shared" si="114"/>
        <v>0</v>
      </c>
      <c r="BP72" s="66">
        <f t="shared" si="115"/>
        <v>0</v>
      </c>
      <c r="BQ72" s="66">
        <f t="shared" si="116"/>
        <v>0</v>
      </c>
      <c r="BR72" s="66">
        <f t="shared" si="117"/>
        <v>0</v>
      </c>
      <c r="BS72" s="66">
        <f t="shared" si="118"/>
        <v>0</v>
      </c>
      <c r="BT72" s="66">
        <f t="shared" si="119"/>
        <v>0</v>
      </c>
      <c r="BU72" s="66">
        <f t="shared" si="120"/>
        <v>1678923103</v>
      </c>
      <c r="BV72" s="66">
        <f t="shared" si="121"/>
        <v>0</v>
      </c>
      <c r="BW72" s="66">
        <f t="shared" si="122"/>
        <v>0</v>
      </c>
      <c r="BX72" s="66">
        <f t="shared" si="123"/>
        <v>40888376</v>
      </c>
      <c r="BY72" s="66">
        <f t="shared" si="124"/>
        <v>0</v>
      </c>
      <c r="BZ72" s="66">
        <f t="shared" si="125"/>
        <v>0</v>
      </c>
      <c r="CA72" s="66"/>
      <c r="CB72" s="66">
        <f t="shared" si="126"/>
        <v>0</v>
      </c>
      <c r="CC72" s="22">
        <f t="shared" si="153"/>
        <v>0.27719024558062266</v>
      </c>
      <c r="CD72" s="66">
        <f t="shared" si="127"/>
        <v>1041584359</v>
      </c>
      <c r="CE72" s="66"/>
      <c r="CF72" s="66"/>
      <c r="CG72" s="66"/>
      <c r="CH72" s="66"/>
      <c r="CI72" s="66"/>
      <c r="CJ72" s="66"/>
      <c r="CK72" s="66"/>
      <c r="CL72" s="66"/>
      <c r="CM72" s="66"/>
      <c r="CN72" s="66"/>
      <c r="CO72" s="66"/>
      <c r="CP72" s="66"/>
      <c r="CQ72" s="66"/>
      <c r="CR72" s="66"/>
      <c r="CS72" s="66"/>
      <c r="CT72" s="66">
        <f>+'[1]OCTUBRE 2019'!$H$2813-CW72</f>
        <v>991295154</v>
      </c>
      <c r="CU72" s="66"/>
      <c r="CV72" s="66"/>
      <c r="CW72" s="66">
        <f>+'[1]OCTUBRE 2019'!$H$2869+'[1]OCTUBRE 2019'!$H$2880+'[1]OCTUBRE 2019'!$H$2890+'[1]OCTUBRE 2019'!$H$2944+'[1]OCTUBRE 2019'!$H$2954</f>
        <v>50289205</v>
      </c>
      <c r="CX72" s="66"/>
      <c r="CY72" s="66"/>
      <c r="CZ72" s="66"/>
      <c r="DA72" s="66"/>
      <c r="DB72" s="22">
        <f t="shared" si="154"/>
        <v>0.72280975441937734</v>
      </c>
      <c r="DC72" s="66">
        <f t="shared" si="128"/>
        <v>2716067202</v>
      </c>
      <c r="DD72" s="66">
        <f t="shared" si="129"/>
        <v>0</v>
      </c>
      <c r="DE72" s="66">
        <f t="shared" si="130"/>
        <v>0</v>
      </c>
      <c r="DF72" s="66">
        <f t="shared" si="131"/>
        <v>0</v>
      </c>
      <c r="DG72" s="66">
        <f t="shared" si="132"/>
        <v>0</v>
      </c>
      <c r="DH72" s="66">
        <f t="shared" si="133"/>
        <v>0</v>
      </c>
      <c r="DI72" s="66">
        <f t="shared" si="134"/>
        <v>0</v>
      </c>
      <c r="DJ72" s="66">
        <f t="shared" si="135"/>
        <v>0</v>
      </c>
      <c r="DK72" s="66">
        <f t="shared" si="136"/>
        <v>100000000</v>
      </c>
      <c r="DL72" s="66">
        <f t="shared" si="137"/>
        <v>0</v>
      </c>
      <c r="DM72" s="66">
        <f t="shared" si="138"/>
        <v>0</v>
      </c>
      <c r="DN72" s="66">
        <f t="shared" si="139"/>
        <v>0</v>
      </c>
      <c r="DO72" s="66">
        <f t="shared" si="140"/>
        <v>0</v>
      </c>
      <c r="DP72" s="66">
        <f t="shared" si="141"/>
        <v>0</v>
      </c>
      <c r="DQ72" s="66">
        <f t="shared" si="142"/>
        <v>0</v>
      </c>
      <c r="DR72" s="66">
        <f t="shared" si="143"/>
        <v>0</v>
      </c>
      <c r="DS72" s="66">
        <f t="shared" si="144"/>
        <v>2466356407</v>
      </c>
      <c r="DT72" s="66">
        <f t="shared" si="145"/>
        <v>0</v>
      </c>
      <c r="DU72" s="66">
        <f t="shared" si="146"/>
        <v>0</v>
      </c>
      <c r="DV72" s="66">
        <f t="shared" si="147"/>
        <v>149710795</v>
      </c>
      <c r="DW72" s="66">
        <f t="shared" si="148"/>
        <v>0</v>
      </c>
      <c r="DX72" s="66">
        <f t="shared" si="149"/>
        <v>0</v>
      </c>
      <c r="DY72" s="66"/>
      <c r="DZ72" s="66">
        <f t="shared" si="150"/>
        <v>0</v>
      </c>
      <c r="EB72" s="9">
        <f t="shared" si="155"/>
        <v>3757651561</v>
      </c>
      <c r="EC72" s="9">
        <f t="shared" si="156"/>
        <v>3757651561</v>
      </c>
      <c r="ED72" s="9">
        <f t="shared" si="157"/>
        <v>3757651561</v>
      </c>
    </row>
    <row r="73" spans="1:134" ht="43.2" customHeight="1" x14ac:dyDescent="0.3">
      <c r="A73" s="73"/>
      <c r="B73" s="235" t="s">
        <v>202</v>
      </c>
      <c r="C73" s="121" t="s">
        <v>201</v>
      </c>
      <c r="D73" s="69" t="s">
        <v>200</v>
      </c>
      <c r="E73" s="87">
        <v>410</v>
      </c>
      <c r="F73" s="67" t="s">
        <v>127</v>
      </c>
      <c r="G73" s="66">
        <f t="shared" si="102"/>
        <v>30000000</v>
      </c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>
        <f>15000000+15000000</f>
        <v>30000000</v>
      </c>
      <c r="AA73" s="66"/>
      <c r="AB73" s="66"/>
      <c r="AC73" s="66"/>
      <c r="AD73" s="66"/>
      <c r="AE73" s="22">
        <f t="shared" si="151"/>
        <v>0.78402593333333337</v>
      </c>
      <c r="AF73" s="66">
        <f t="shared" si="103"/>
        <v>23520778</v>
      </c>
      <c r="AG73" s="66"/>
      <c r="AH73" s="66"/>
      <c r="AI73" s="66"/>
      <c r="AJ73" s="66"/>
      <c r="AK73" s="66"/>
      <c r="AL73" s="66"/>
      <c r="AM73" s="66"/>
      <c r="AN73" s="66"/>
      <c r="AO73" s="66"/>
      <c r="AP73" s="66"/>
      <c r="AQ73" s="66"/>
      <c r="AR73" s="66"/>
      <c r="AS73" s="66"/>
      <c r="AT73" s="66"/>
      <c r="AU73" s="66"/>
      <c r="AV73" s="66"/>
      <c r="AW73" s="66"/>
      <c r="AX73" s="66"/>
      <c r="AY73" s="66">
        <f>+'[7]AGOSTO 2019'!$AA$2265</f>
        <v>23520778</v>
      </c>
      <c r="AZ73" s="66"/>
      <c r="BA73" s="66"/>
      <c r="BB73" s="66"/>
      <c r="BC73" s="66"/>
      <c r="BD73" s="22">
        <f t="shared" si="152"/>
        <v>0.21597406666666663</v>
      </c>
      <c r="BE73" s="66">
        <f t="shared" si="104"/>
        <v>6479222</v>
      </c>
      <c r="BF73" s="66">
        <f t="shared" si="105"/>
        <v>0</v>
      </c>
      <c r="BG73" s="66">
        <f t="shared" si="106"/>
        <v>0</v>
      </c>
      <c r="BH73" s="66">
        <f t="shared" si="107"/>
        <v>0</v>
      </c>
      <c r="BI73" s="66">
        <f t="shared" si="108"/>
        <v>0</v>
      </c>
      <c r="BJ73" s="66">
        <f t="shared" si="109"/>
        <v>0</v>
      </c>
      <c r="BK73" s="66">
        <f t="shared" si="110"/>
        <v>0</v>
      </c>
      <c r="BL73" s="66">
        <f t="shared" si="111"/>
        <v>0</v>
      </c>
      <c r="BM73" s="66">
        <f t="shared" si="112"/>
        <v>0</v>
      </c>
      <c r="BN73" s="66">
        <f t="shared" si="113"/>
        <v>0</v>
      </c>
      <c r="BO73" s="66">
        <f t="shared" si="114"/>
        <v>0</v>
      </c>
      <c r="BP73" s="66">
        <f t="shared" si="115"/>
        <v>0</v>
      </c>
      <c r="BQ73" s="66">
        <f t="shared" si="116"/>
        <v>0</v>
      </c>
      <c r="BR73" s="66">
        <f t="shared" si="117"/>
        <v>0</v>
      </c>
      <c r="BS73" s="66">
        <f t="shared" si="118"/>
        <v>0</v>
      </c>
      <c r="BT73" s="66">
        <f t="shared" si="119"/>
        <v>0</v>
      </c>
      <c r="BU73" s="66">
        <f t="shared" si="120"/>
        <v>0</v>
      </c>
      <c r="BV73" s="66">
        <f t="shared" si="121"/>
        <v>0</v>
      </c>
      <c r="BW73" s="66">
        <f t="shared" si="122"/>
        <v>0</v>
      </c>
      <c r="BX73" s="66">
        <f t="shared" si="123"/>
        <v>6479222</v>
      </c>
      <c r="BY73" s="66">
        <f t="shared" si="124"/>
        <v>0</v>
      </c>
      <c r="BZ73" s="66">
        <f t="shared" si="125"/>
        <v>0</v>
      </c>
      <c r="CA73" s="66"/>
      <c r="CB73" s="66">
        <f t="shared" si="126"/>
        <v>0</v>
      </c>
      <c r="CC73" s="22">
        <f t="shared" si="153"/>
        <v>0.78402583333333331</v>
      </c>
      <c r="CD73" s="66">
        <f t="shared" si="127"/>
        <v>23520775</v>
      </c>
      <c r="CE73" s="66"/>
      <c r="CF73" s="66"/>
      <c r="CG73" s="66"/>
      <c r="CH73" s="66"/>
      <c r="CI73" s="66"/>
      <c r="CJ73" s="66"/>
      <c r="CK73" s="66"/>
      <c r="CL73" s="66"/>
      <c r="CM73" s="66"/>
      <c r="CN73" s="66"/>
      <c r="CO73" s="66"/>
      <c r="CP73" s="66"/>
      <c r="CQ73" s="66"/>
      <c r="CR73" s="66"/>
      <c r="CS73" s="66"/>
      <c r="CT73" s="66"/>
      <c r="CU73" s="66"/>
      <c r="CV73" s="66"/>
      <c r="CW73" s="66">
        <f>+'[7]AGOSTO 2019'!$H$2263</f>
        <v>23520775</v>
      </c>
      <c r="CX73" s="66"/>
      <c r="CY73" s="66"/>
      <c r="CZ73" s="66"/>
      <c r="DA73" s="66"/>
      <c r="DB73" s="22">
        <f t="shared" si="154"/>
        <v>0.21597416666666669</v>
      </c>
      <c r="DC73" s="66">
        <f t="shared" si="128"/>
        <v>6479225</v>
      </c>
      <c r="DD73" s="66">
        <f t="shared" si="129"/>
        <v>0</v>
      </c>
      <c r="DE73" s="66">
        <f t="shared" si="130"/>
        <v>0</v>
      </c>
      <c r="DF73" s="66">
        <f t="shared" si="131"/>
        <v>0</v>
      </c>
      <c r="DG73" s="66">
        <f t="shared" si="132"/>
        <v>0</v>
      </c>
      <c r="DH73" s="66">
        <f t="shared" si="133"/>
        <v>0</v>
      </c>
      <c r="DI73" s="66">
        <f t="shared" si="134"/>
        <v>0</v>
      </c>
      <c r="DJ73" s="66">
        <f t="shared" si="135"/>
        <v>0</v>
      </c>
      <c r="DK73" s="66">
        <f t="shared" si="136"/>
        <v>0</v>
      </c>
      <c r="DL73" s="66">
        <f t="shared" si="137"/>
        <v>0</v>
      </c>
      <c r="DM73" s="66">
        <f t="shared" si="138"/>
        <v>0</v>
      </c>
      <c r="DN73" s="66">
        <f t="shared" si="139"/>
        <v>0</v>
      </c>
      <c r="DO73" s="66">
        <f t="shared" si="140"/>
        <v>0</v>
      </c>
      <c r="DP73" s="66">
        <f t="shared" si="141"/>
        <v>0</v>
      </c>
      <c r="DQ73" s="66">
        <f t="shared" si="142"/>
        <v>0</v>
      </c>
      <c r="DR73" s="66">
        <f t="shared" si="143"/>
        <v>0</v>
      </c>
      <c r="DS73" s="66">
        <f t="shared" si="144"/>
        <v>0</v>
      </c>
      <c r="DT73" s="66">
        <f t="shared" si="145"/>
        <v>0</v>
      </c>
      <c r="DU73" s="66">
        <f t="shared" si="146"/>
        <v>0</v>
      </c>
      <c r="DV73" s="66">
        <f t="shared" si="147"/>
        <v>6479225</v>
      </c>
      <c r="DW73" s="66">
        <f t="shared" si="148"/>
        <v>0</v>
      </c>
      <c r="DX73" s="66">
        <f t="shared" si="149"/>
        <v>0</v>
      </c>
      <c r="DY73" s="66"/>
      <c r="DZ73" s="66">
        <f t="shared" si="150"/>
        <v>0</v>
      </c>
      <c r="EB73" s="9">
        <f t="shared" si="155"/>
        <v>30000000</v>
      </c>
      <c r="EC73" s="9">
        <f t="shared" si="156"/>
        <v>30000000</v>
      </c>
      <c r="ED73" s="9">
        <f t="shared" si="157"/>
        <v>30000000</v>
      </c>
    </row>
    <row r="74" spans="1:134" ht="58.8" customHeight="1" x14ac:dyDescent="0.3">
      <c r="A74" s="73"/>
      <c r="B74" s="235"/>
      <c r="C74" s="121" t="s">
        <v>199</v>
      </c>
      <c r="D74" s="69" t="s">
        <v>198</v>
      </c>
      <c r="E74" s="87">
        <v>410</v>
      </c>
      <c r="F74" s="67" t="s">
        <v>127</v>
      </c>
      <c r="G74" s="66">
        <f t="shared" si="102"/>
        <v>0</v>
      </c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22" t="e">
        <f t="shared" si="151"/>
        <v>#DIV/0!</v>
      </c>
      <c r="AF74" s="66">
        <f t="shared" si="103"/>
        <v>0</v>
      </c>
      <c r="AG74" s="66"/>
      <c r="AH74" s="66"/>
      <c r="AI74" s="66"/>
      <c r="AJ74" s="66"/>
      <c r="AK74" s="66"/>
      <c r="AL74" s="66"/>
      <c r="AM74" s="66"/>
      <c r="AN74" s="66"/>
      <c r="AO74" s="66"/>
      <c r="AP74" s="66"/>
      <c r="AQ74" s="66"/>
      <c r="AR74" s="66"/>
      <c r="AS74" s="66"/>
      <c r="AT74" s="66"/>
      <c r="AU74" s="66"/>
      <c r="AV74" s="66"/>
      <c r="AW74" s="66"/>
      <c r="AX74" s="66"/>
      <c r="AY74" s="66"/>
      <c r="AZ74" s="66"/>
      <c r="BA74" s="66"/>
      <c r="BB74" s="66"/>
      <c r="BC74" s="66"/>
      <c r="BD74" s="22" t="e">
        <f t="shared" si="152"/>
        <v>#DIV/0!</v>
      </c>
      <c r="BE74" s="66">
        <f t="shared" si="104"/>
        <v>0</v>
      </c>
      <c r="BF74" s="66">
        <f t="shared" si="105"/>
        <v>0</v>
      </c>
      <c r="BG74" s="66">
        <f t="shared" si="106"/>
        <v>0</v>
      </c>
      <c r="BH74" s="66">
        <f t="shared" si="107"/>
        <v>0</v>
      </c>
      <c r="BI74" s="66">
        <f t="shared" si="108"/>
        <v>0</v>
      </c>
      <c r="BJ74" s="66">
        <f t="shared" si="109"/>
        <v>0</v>
      </c>
      <c r="BK74" s="66">
        <f t="shared" si="110"/>
        <v>0</v>
      </c>
      <c r="BL74" s="66">
        <f t="shared" si="111"/>
        <v>0</v>
      </c>
      <c r="BM74" s="66">
        <f t="shared" si="112"/>
        <v>0</v>
      </c>
      <c r="BN74" s="66">
        <f t="shared" si="113"/>
        <v>0</v>
      </c>
      <c r="BO74" s="66">
        <f t="shared" si="114"/>
        <v>0</v>
      </c>
      <c r="BP74" s="66">
        <f t="shared" si="115"/>
        <v>0</v>
      </c>
      <c r="BQ74" s="66">
        <f t="shared" si="116"/>
        <v>0</v>
      </c>
      <c r="BR74" s="66">
        <f t="shared" si="117"/>
        <v>0</v>
      </c>
      <c r="BS74" s="66">
        <f t="shared" si="118"/>
        <v>0</v>
      </c>
      <c r="BT74" s="66">
        <f t="shared" si="119"/>
        <v>0</v>
      </c>
      <c r="BU74" s="66">
        <f t="shared" si="120"/>
        <v>0</v>
      </c>
      <c r="BV74" s="66">
        <f t="shared" si="121"/>
        <v>0</v>
      </c>
      <c r="BW74" s="66">
        <f t="shared" si="122"/>
        <v>0</v>
      </c>
      <c r="BX74" s="66">
        <f t="shared" si="123"/>
        <v>0</v>
      </c>
      <c r="BY74" s="66">
        <f t="shared" si="124"/>
        <v>0</v>
      </c>
      <c r="BZ74" s="66">
        <f t="shared" si="125"/>
        <v>0</v>
      </c>
      <c r="CA74" s="66"/>
      <c r="CB74" s="66">
        <f t="shared" si="126"/>
        <v>0</v>
      </c>
      <c r="CC74" s="22" t="e">
        <f t="shared" si="153"/>
        <v>#DIV/0!</v>
      </c>
      <c r="CD74" s="66">
        <f t="shared" si="127"/>
        <v>0</v>
      </c>
      <c r="CE74" s="66"/>
      <c r="CF74" s="66"/>
      <c r="CG74" s="66"/>
      <c r="CH74" s="66"/>
      <c r="CI74" s="66"/>
      <c r="CJ74" s="66"/>
      <c r="CK74" s="66"/>
      <c r="CL74" s="66"/>
      <c r="CM74" s="66"/>
      <c r="CN74" s="66"/>
      <c r="CO74" s="66"/>
      <c r="CP74" s="66"/>
      <c r="CQ74" s="66"/>
      <c r="CR74" s="66"/>
      <c r="CS74" s="66"/>
      <c r="CT74" s="66"/>
      <c r="CU74" s="66"/>
      <c r="CV74" s="66"/>
      <c r="CW74" s="66"/>
      <c r="CX74" s="66"/>
      <c r="CY74" s="66"/>
      <c r="CZ74" s="66"/>
      <c r="DA74" s="66"/>
      <c r="DB74" s="22" t="e">
        <f t="shared" si="154"/>
        <v>#DIV/0!</v>
      </c>
      <c r="DC74" s="66">
        <f t="shared" si="128"/>
        <v>0</v>
      </c>
      <c r="DD74" s="66">
        <f t="shared" si="129"/>
        <v>0</v>
      </c>
      <c r="DE74" s="66">
        <f t="shared" si="130"/>
        <v>0</v>
      </c>
      <c r="DF74" s="66">
        <f t="shared" si="131"/>
        <v>0</v>
      </c>
      <c r="DG74" s="66">
        <f t="shared" si="132"/>
        <v>0</v>
      </c>
      <c r="DH74" s="66">
        <f t="shared" si="133"/>
        <v>0</v>
      </c>
      <c r="DI74" s="66">
        <f t="shared" si="134"/>
        <v>0</v>
      </c>
      <c r="DJ74" s="66">
        <f t="shared" si="135"/>
        <v>0</v>
      </c>
      <c r="DK74" s="66">
        <f t="shared" si="136"/>
        <v>0</v>
      </c>
      <c r="DL74" s="66">
        <f t="shared" si="137"/>
        <v>0</v>
      </c>
      <c r="DM74" s="66">
        <f t="shared" si="138"/>
        <v>0</v>
      </c>
      <c r="DN74" s="66">
        <f t="shared" si="139"/>
        <v>0</v>
      </c>
      <c r="DO74" s="66">
        <f t="shared" si="140"/>
        <v>0</v>
      </c>
      <c r="DP74" s="66">
        <f t="shared" si="141"/>
        <v>0</v>
      </c>
      <c r="DQ74" s="66">
        <f t="shared" si="142"/>
        <v>0</v>
      </c>
      <c r="DR74" s="66">
        <f t="shared" si="143"/>
        <v>0</v>
      </c>
      <c r="DS74" s="66">
        <f t="shared" si="144"/>
        <v>0</v>
      </c>
      <c r="DT74" s="66">
        <f t="shared" si="145"/>
        <v>0</v>
      </c>
      <c r="DU74" s="66">
        <f t="shared" si="146"/>
        <v>0</v>
      </c>
      <c r="DV74" s="66">
        <f t="shared" si="147"/>
        <v>0</v>
      </c>
      <c r="DW74" s="66">
        <f t="shared" si="148"/>
        <v>0</v>
      </c>
      <c r="DX74" s="66">
        <f t="shared" si="149"/>
        <v>0</v>
      </c>
      <c r="DY74" s="66"/>
      <c r="DZ74" s="66">
        <f t="shared" si="150"/>
        <v>0</v>
      </c>
      <c r="EB74" s="9">
        <f t="shared" si="155"/>
        <v>0</v>
      </c>
      <c r="EC74" s="9">
        <f t="shared" si="156"/>
        <v>0</v>
      </c>
      <c r="ED74" s="9">
        <f t="shared" si="157"/>
        <v>0</v>
      </c>
    </row>
    <row r="75" spans="1:134" ht="28.8" customHeight="1" x14ac:dyDescent="0.3">
      <c r="A75" s="207"/>
      <c r="B75" s="237" t="s">
        <v>197</v>
      </c>
      <c r="C75" s="121" t="s">
        <v>196</v>
      </c>
      <c r="D75" s="69" t="s">
        <v>195</v>
      </c>
      <c r="E75" s="87">
        <v>410</v>
      </c>
      <c r="F75" s="67" t="s">
        <v>194</v>
      </c>
      <c r="G75" s="66">
        <f t="shared" si="102"/>
        <v>157000000</v>
      </c>
      <c r="H75" s="66"/>
      <c r="I75" s="66"/>
      <c r="J75" s="66"/>
      <c r="K75" s="66"/>
      <c r="L75" s="66"/>
      <c r="M75" s="66"/>
      <c r="N75" s="35"/>
      <c r="O75" s="66">
        <f>32000000+15000000</f>
        <v>47000000</v>
      </c>
      <c r="P75" s="35"/>
      <c r="Q75" s="35"/>
      <c r="R75" s="66"/>
      <c r="S75" s="66">
        <f>20000000</f>
        <v>20000000</v>
      </c>
      <c r="T75" s="66"/>
      <c r="U75" s="66"/>
      <c r="V75" s="66"/>
      <c r="W75" s="66"/>
      <c r="X75" s="66"/>
      <c r="Y75" s="66"/>
      <c r="Z75" s="66">
        <f>50000000+15000000</f>
        <v>65000000</v>
      </c>
      <c r="AA75" s="66"/>
      <c r="AB75" s="66"/>
      <c r="AC75" s="66"/>
      <c r="AD75" s="66">
        <f>25000000</f>
        <v>25000000</v>
      </c>
      <c r="AE75" s="22">
        <f t="shared" si="151"/>
        <v>0.76884001910828026</v>
      </c>
      <c r="AF75" s="66">
        <f t="shared" si="103"/>
        <v>120707883</v>
      </c>
      <c r="AG75" s="66"/>
      <c r="AH75" s="66"/>
      <c r="AI75" s="66"/>
      <c r="AJ75" s="66"/>
      <c r="AK75" s="66"/>
      <c r="AL75" s="66"/>
      <c r="AM75" s="66"/>
      <c r="AN75" s="66">
        <f>+'[1]OCTUBRE 2019'!$Q$3039</f>
        <v>44360267</v>
      </c>
      <c r="AO75" s="66"/>
      <c r="AP75" s="66"/>
      <c r="AQ75" s="66"/>
      <c r="AR75" s="66">
        <f>+'[1]OCTUBRE 2019'!$U$3039</f>
        <v>14593333</v>
      </c>
      <c r="AS75" s="66"/>
      <c r="AT75" s="66"/>
      <c r="AU75" s="66"/>
      <c r="AV75" s="66"/>
      <c r="AW75" s="66"/>
      <c r="AX75" s="66"/>
      <c r="AY75" s="66">
        <f>+'[1]OCTUBRE 2019'!$AB$3039</f>
        <v>61754283</v>
      </c>
      <c r="AZ75" s="66"/>
      <c r="BA75" s="66"/>
      <c r="BB75" s="66"/>
      <c r="BC75" s="66"/>
      <c r="BD75" s="22">
        <f t="shared" si="152"/>
        <v>0.23115998089171974</v>
      </c>
      <c r="BE75" s="66">
        <f t="shared" si="104"/>
        <v>36292117</v>
      </c>
      <c r="BF75" s="66">
        <f t="shared" si="105"/>
        <v>0</v>
      </c>
      <c r="BG75" s="66">
        <f t="shared" si="106"/>
        <v>0</v>
      </c>
      <c r="BH75" s="66">
        <f t="shared" si="107"/>
        <v>0</v>
      </c>
      <c r="BI75" s="66">
        <f t="shared" si="108"/>
        <v>0</v>
      </c>
      <c r="BJ75" s="66">
        <f t="shared" si="109"/>
        <v>0</v>
      </c>
      <c r="BK75" s="66">
        <f t="shared" si="110"/>
        <v>0</v>
      </c>
      <c r="BL75" s="66">
        <f t="shared" si="111"/>
        <v>0</v>
      </c>
      <c r="BM75" s="66">
        <f t="shared" si="112"/>
        <v>2639733</v>
      </c>
      <c r="BN75" s="66">
        <f t="shared" si="113"/>
        <v>0</v>
      </c>
      <c r="BO75" s="66">
        <f t="shared" si="114"/>
        <v>0</v>
      </c>
      <c r="BP75" s="66">
        <f t="shared" si="115"/>
        <v>0</v>
      </c>
      <c r="BQ75" s="66">
        <f t="shared" si="116"/>
        <v>5406667</v>
      </c>
      <c r="BR75" s="66">
        <f t="shared" si="117"/>
        <v>0</v>
      </c>
      <c r="BS75" s="66">
        <f t="shared" si="118"/>
        <v>0</v>
      </c>
      <c r="BT75" s="66">
        <f t="shared" si="119"/>
        <v>0</v>
      </c>
      <c r="BU75" s="66">
        <f t="shared" si="120"/>
        <v>0</v>
      </c>
      <c r="BV75" s="66">
        <f t="shared" si="121"/>
        <v>0</v>
      </c>
      <c r="BW75" s="66">
        <f t="shared" si="122"/>
        <v>0</v>
      </c>
      <c r="BX75" s="66">
        <f t="shared" si="123"/>
        <v>3245717</v>
      </c>
      <c r="BY75" s="66">
        <f t="shared" si="124"/>
        <v>0</v>
      </c>
      <c r="BZ75" s="66">
        <f t="shared" si="125"/>
        <v>0</v>
      </c>
      <c r="CA75" s="66"/>
      <c r="CB75" s="66">
        <f t="shared" si="126"/>
        <v>25000000</v>
      </c>
      <c r="CC75" s="22">
        <f t="shared" si="153"/>
        <v>0.58885587261146499</v>
      </c>
      <c r="CD75" s="66">
        <f t="shared" si="127"/>
        <v>92450372</v>
      </c>
      <c r="CE75" s="66"/>
      <c r="CF75" s="66"/>
      <c r="CG75" s="66"/>
      <c r="CH75" s="66"/>
      <c r="CI75" s="66"/>
      <c r="CJ75" s="66"/>
      <c r="CK75" s="66"/>
      <c r="CL75" s="66">
        <f>+'[1]OCTUBRE 2019'!$H$3046+'[1]OCTUBRE 2019'!$H$3054+'[1]OCTUBRE 2019'!$H$3064+'[1]OCTUBRE 2019'!$H$3065</f>
        <v>22222765</v>
      </c>
      <c r="CM75" s="66"/>
      <c r="CN75" s="66"/>
      <c r="CO75" s="66"/>
      <c r="CP75" s="66">
        <f>+'[1]OCTUBRE 2019'!$H$3044+'[1]OCTUBRE 2019'!$H$3057</f>
        <v>9473324</v>
      </c>
      <c r="CQ75" s="66"/>
      <c r="CR75" s="66"/>
      <c r="CS75" s="66"/>
      <c r="CT75" s="66"/>
      <c r="CU75" s="66"/>
      <c r="CV75" s="66"/>
      <c r="CW75" s="66">
        <f>+'[1]OCTUBRE 2019'!$H$3037-CP75-CL75</f>
        <v>60754283</v>
      </c>
      <c r="CX75" s="66"/>
      <c r="CY75" s="66"/>
      <c r="CZ75" s="66"/>
      <c r="DA75" s="66"/>
      <c r="DB75" s="22">
        <f t="shared" si="154"/>
        <v>0.41114412738853501</v>
      </c>
      <c r="DC75" s="66">
        <f t="shared" si="128"/>
        <v>64549628</v>
      </c>
      <c r="DD75" s="66">
        <f t="shared" si="129"/>
        <v>0</v>
      </c>
      <c r="DE75" s="66">
        <f t="shared" si="130"/>
        <v>0</v>
      </c>
      <c r="DF75" s="66">
        <f t="shared" si="131"/>
        <v>0</v>
      </c>
      <c r="DG75" s="66">
        <f t="shared" si="132"/>
        <v>0</v>
      </c>
      <c r="DH75" s="66">
        <f t="shared" si="133"/>
        <v>0</v>
      </c>
      <c r="DI75" s="66">
        <f t="shared" si="134"/>
        <v>0</v>
      </c>
      <c r="DJ75" s="66">
        <f t="shared" si="135"/>
        <v>0</v>
      </c>
      <c r="DK75" s="66">
        <f t="shared" si="136"/>
        <v>24777235</v>
      </c>
      <c r="DL75" s="66">
        <f t="shared" si="137"/>
        <v>0</v>
      </c>
      <c r="DM75" s="66">
        <f t="shared" si="138"/>
        <v>0</v>
      </c>
      <c r="DN75" s="66">
        <f t="shared" si="139"/>
        <v>0</v>
      </c>
      <c r="DO75" s="66">
        <f t="shared" si="140"/>
        <v>10526676</v>
      </c>
      <c r="DP75" s="66">
        <f t="shared" si="141"/>
        <v>0</v>
      </c>
      <c r="DQ75" s="66">
        <f t="shared" si="142"/>
        <v>0</v>
      </c>
      <c r="DR75" s="66">
        <f t="shared" si="143"/>
        <v>0</v>
      </c>
      <c r="DS75" s="66">
        <f t="shared" si="144"/>
        <v>0</v>
      </c>
      <c r="DT75" s="66">
        <f t="shared" si="145"/>
        <v>0</v>
      </c>
      <c r="DU75" s="66">
        <f t="shared" si="146"/>
        <v>0</v>
      </c>
      <c r="DV75" s="66">
        <f t="shared" si="147"/>
        <v>4245717</v>
      </c>
      <c r="DW75" s="66">
        <f t="shared" si="148"/>
        <v>0</v>
      </c>
      <c r="DX75" s="66">
        <f t="shared" si="149"/>
        <v>0</v>
      </c>
      <c r="DY75" s="66"/>
      <c r="DZ75" s="66">
        <f t="shared" si="150"/>
        <v>25000000</v>
      </c>
      <c r="EA75" s="59"/>
      <c r="EB75" s="9">
        <f t="shared" si="155"/>
        <v>157000000</v>
      </c>
      <c r="EC75" s="9">
        <f t="shared" si="156"/>
        <v>157000000</v>
      </c>
      <c r="ED75" s="9">
        <f t="shared" si="157"/>
        <v>157000000</v>
      </c>
    </row>
    <row r="76" spans="1:134" ht="42" customHeight="1" x14ac:dyDescent="0.3">
      <c r="A76" s="207"/>
      <c r="B76" s="237"/>
      <c r="C76" s="121" t="s">
        <v>193</v>
      </c>
      <c r="D76" s="69" t="s">
        <v>192</v>
      </c>
      <c r="E76" s="87">
        <v>410</v>
      </c>
      <c r="F76" s="67" t="s">
        <v>127</v>
      </c>
      <c r="G76" s="66">
        <f t="shared" si="102"/>
        <v>10000000</v>
      </c>
      <c r="H76" s="66"/>
      <c r="I76" s="66"/>
      <c r="J76" s="66"/>
      <c r="K76" s="66"/>
      <c r="L76" s="66"/>
      <c r="M76" s="66"/>
      <c r="N76" s="35"/>
      <c r="O76" s="66"/>
      <c r="P76" s="35"/>
      <c r="Q76" s="35"/>
      <c r="R76" s="66"/>
      <c r="S76" s="66"/>
      <c r="T76" s="66"/>
      <c r="U76" s="66"/>
      <c r="V76" s="66"/>
      <c r="W76" s="66"/>
      <c r="X76" s="66"/>
      <c r="Y76" s="66"/>
      <c r="Z76" s="66">
        <v>10000000</v>
      </c>
      <c r="AA76" s="66"/>
      <c r="AB76" s="66"/>
      <c r="AC76" s="66"/>
      <c r="AD76" s="66"/>
      <c r="AE76" s="22">
        <f t="shared" si="151"/>
        <v>0</v>
      </c>
      <c r="AF76" s="66">
        <f t="shared" si="103"/>
        <v>0</v>
      </c>
      <c r="AG76" s="66"/>
      <c r="AH76" s="66"/>
      <c r="AI76" s="66"/>
      <c r="AJ76" s="66"/>
      <c r="AK76" s="66"/>
      <c r="AL76" s="66"/>
      <c r="AM76" s="66"/>
      <c r="AN76" s="66"/>
      <c r="AO76" s="66"/>
      <c r="AP76" s="66"/>
      <c r="AQ76" s="66"/>
      <c r="AR76" s="66"/>
      <c r="AS76" s="66"/>
      <c r="AT76" s="66"/>
      <c r="AU76" s="66"/>
      <c r="AV76" s="66"/>
      <c r="AW76" s="66"/>
      <c r="AX76" s="66"/>
      <c r="AY76" s="66"/>
      <c r="AZ76" s="66"/>
      <c r="BA76" s="66"/>
      <c r="BB76" s="66"/>
      <c r="BC76" s="66"/>
      <c r="BD76" s="22">
        <f t="shared" si="152"/>
        <v>1</v>
      </c>
      <c r="BE76" s="66">
        <f t="shared" si="104"/>
        <v>10000000</v>
      </c>
      <c r="BF76" s="66">
        <f t="shared" si="105"/>
        <v>0</v>
      </c>
      <c r="BG76" s="66">
        <f t="shared" si="106"/>
        <v>0</v>
      </c>
      <c r="BH76" s="66">
        <f t="shared" si="107"/>
        <v>0</v>
      </c>
      <c r="BI76" s="66">
        <f t="shared" si="108"/>
        <v>0</v>
      </c>
      <c r="BJ76" s="66">
        <f t="shared" si="109"/>
        <v>0</v>
      </c>
      <c r="BK76" s="66">
        <f t="shared" si="110"/>
        <v>0</v>
      </c>
      <c r="BL76" s="66">
        <f t="shared" si="111"/>
        <v>0</v>
      </c>
      <c r="BM76" s="66">
        <f t="shared" si="112"/>
        <v>0</v>
      </c>
      <c r="BN76" s="66">
        <f t="shared" si="113"/>
        <v>0</v>
      </c>
      <c r="BO76" s="66">
        <f t="shared" si="114"/>
        <v>0</v>
      </c>
      <c r="BP76" s="66">
        <f t="shared" si="115"/>
        <v>0</v>
      </c>
      <c r="BQ76" s="66">
        <f t="shared" si="116"/>
        <v>0</v>
      </c>
      <c r="BR76" s="66">
        <f t="shared" si="117"/>
        <v>0</v>
      </c>
      <c r="BS76" s="66">
        <f t="shared" si="118"/>
        <v>0</v>
      </c>
      <c r="BT76" s="66">
        <f t="shared" si="119"/>
        <v>0</v>
      </c>
      <c r="BU76" s="66">
        <f t="shared" si="120"/>
        <v>0</v>
      </c>
      <c r="BV76" s="66">
        <f t="shared" si="121"/>
        <v>0</v>
      </c>
      <c r="BW76" s="66">
        <f t="shared" si="122"/>
        <v>0</v>
      </c>
      <c r="BX76" s="66">
        <f t="shared" si="123"/>
        <v>10000000</v>
      </c>
      <c r="BY76" s="66">
        <f t="shared" si="124"/>
        <v>0</v>
      </c>
      <c r="BZ76" s="66">
        <f t="shared" si="125"/>
        <v>0</v>
      </c>
      <c r="CA76" s="66"/>
      <c r="CB76" s="66">
        <f t="shared" si="126"/>
        <v>0</v>
      </c>
      <c r="CC76" s="22">
        <f t="shared" si="153"/>
        <v>0</v>
      </c>
      <c r="CD76" s="66">
        <f t="shared" si="127"/>
        <v>0</v>
      </c>
      <c r="CE76" s="66"/>
      <c r="CF76" s="66"/>
      <c r="CG76" s="66"/>
      <c r="CH76" s="66"/>
      <c r="CI76" s="66"/>
      <c r="CJ76" s="66"/>
      <c r="CK76" s="66"/>
      <c r="CL76" s="66"/>
      <c r="CM76" s="66"/>
      <c r="CN76" s="66"/>
      <c r="CO76" s="66"/>
      <c r="CP76" s="66"/>
      <c r="CQ76" s="66"/>
      <c r="CR76" s="66"/>
      <c r="CS76" s="66"/>
      <c r="CT76" s="66"/>
      <c r="CU76" s="66"/>
      <c r="CV76" s="66"/>
      <c r="CW76" s="66"/>
      <c r="CX76" s="66"/>
      <c r="CY76" s="66"/>
      <c r="CZ76" s="66"/>
      <c r="DA76" s="66"/>
      <c r="DB76" s="22">
        <f t="shared" si="154"/>
        <v>1</v>
      </c>
      <c r="DC76" s="66">
        <f t="shared" si="128"/>
        <v>10000000</v>
      </c>
      <c r="DD76" s="66">
        <f t="shared" si="129"/>
        <v>0</v>
      </c>
      <c r="DE76" s="66">
        <f t="shared" si="130"/>
        <v>0</v>
      </c>
      <c r="DF76" s="66">
        <f t="shared" si="131"/>
        <v>0</v>
      </c>
      <c r="DG76" s="66">
        <f t="shared" si="132"/>
        <v>0</v>
      </c>
      <c r="DH76" s="66">
        <f t="shared" si="133"/>
        <v>0</v>
      </c>
      <c r="DI76" s="66">
        <f t="shared" si="134"/>
        <v>0</v>
      </c>
      <c r="DJ76" s="66">
        <f t="shared" si="135"/>
        <v>0</v>
      </c>
      <c r="DK76" s="66">
        <f t="shared" si="136"/>
        <v>0</v>
      </c>
      <c r="DL76" s="66">
        <f t="shared" si="137"/>
        <v>0</v>
      </c>
      <c r="DM76" s="66">
        <f t="shared" si="138"/>
        <v>0</v>
      </c>
      <c r="DN76" s="66">
        <f t="shared" si="139"/>
        <v>0</v>
      </c>
      <c r="DO76" s="66">
        <f t="shared" si="140"/>
        <v>0</v>
      </c>
      <c r="DP76" s="66">
        <f t="shared" si="141"/>
        <v>0</v>
      </c>
      <c r="DQ76" s="66">
        <f t="shared" si="142"/>
        <v>0</v>
      </c>
      <c r="DR76" s="66">
        <f t="shared" si="143"/>
        <v>0</v>
      </c>
      <c r="DS76" s="66">
        <f t="shared" si="144"/>
        <v>0</v>
      </c>
      <c r="DT76" s="66">
        <f t="shared" si="145"/>
        <v>0</v>
      </c>
      <c r="DU76" s="66">
        <f t="shared" si="146"/>
        <v>0</v>
      </c>
      <c r="DV76" s="66">
        <f t="shared" si="147"/>
        <v>10000000</v>
      </c>
      <c r="DW76" s="66">
        <f t="shared" si="148"/>
        <v>0</v>
      </c>
      <c r="DX76" s="66">
        <f t="shared" si="149"/>
        <v>0</v>
      </c>
      <c r="DY76" s="66"/>
      <c r="DZ76" s="66">
        <f t="shared" si="150"/>
        <v>0</v>
      </c>
      <c r="EA76" s="59"/>
      <c r="EB76" s="9">
        <f t="shared" si="155"/>
        <v>10000000</v>
      </c>
      <c r="EC76" s="9">
        <f t="shared" si="156"/>
        <v>10000000</v>
      </c>
      <c r="ED76" s="9">
        <f t="shared" si="157"/>
        <v>10000000</v>
      </c>
    </row>
    <row r="77" spans="1:134" ht="54" customHeight="1" x14ac:dyDescent="0.3">
      <c r="A77" s="207"/>
      <c r="B77" s="122" t="s">
        <v>191</v>
      </c>
      <c r="C77" s="121" t="s">
        <v>190</v>
      </c>
      <c r="D77" s="69" t="s">
        <v>189</v>
      </c>
      <c r="E77" s="87">
        <v>410</v>
      </c>
      <c r="F77" s="67" t="s">
        <v>188</v>
      </c>
      <c r="G77" s="66">
        <f t="shared" si="102"/>
        <v>236982598</v>
      </c>
      <c r="H77" s="66"/>
      <c r="I77" s="66"/>
      <c r="J77" s="66"/>
      <c r="K77" s="66"/>
      <c r="L77" s="66"/>
      <c r="M77" s="66"/>
      <c r="N77" s="35"/>
      <c r="O77" s="66">
        <f>50000000+50000000</f>
        <v>100000000</v>
      </c>
      <c r="P77" s="35"/>
      <c r="Q77" s="35"/>
      <c r="R77" s="66"/>
      <c r="S77" s="66"/>
      <c r="T77" s="66"/>
      <c r="U77" s="66"/>
      <c r="V77" s="66"/>
      <c r="W77" s="66"/>
      <c r="X77" s="66"/>
      <c r="Y77" s="66"/>
      <c r="Z77" s="66">
        <f>30000000+30000000</f>
        <v>60000000</v>
      </c>
      <c r="AA77" s="66"/>
      <c r="AB77" s="66"/>
      <c r="AC77" s="66"/>
      <c r="AD77" s="66">
        <f>50982598+4000000+18000000+4000000</f>
        <v>76982598</v>
      </c>
      <c r="AE77" s="22">
        <f t="shared" si="151"/>
        <v>0.79939225748550535</v>
      </c>
      <c r="AF77" s="66">
        <f t="shared" si="103"/>
        <v>189442054</v>
      </c>
      <c r="AG77" s="66"/>
      <c r="AH77" s="66"/>
      <c r="AI77" s="66"/>
      <c r="AJ77" s="66"/>
      <c r="AK77" s="66"/>
      <c r="AL77" s="66"/>
      <c r="AM77" s="66"/>
      <c r="AN77" s="66">
        <f>+'[1]OCTUBRE 2019'!$Q$3085</f>
        <v>88632141</v>
      </c>
      <c r="AO77" s="66"/>
      <c r="AP77" s="66"/>
      <c r="AQ77" s="66"/>
      <c r="AR77" s="66"/>
      <c r="AS77" s="66"/>
      <c r="AT77" s="66"/>
      <c r="AU77" s="66"/>
      <c r="AV77" s="66"/>
      <c r="AW77" s="66"/>
      <c r="AX77" s="66"/>
      <c r="AY77" s="66">
        <f>+'[1]OCTUBRE 2019'!$AB$3085</f>
        <v>33087315</v>
      </c>
      <c r="AZ77" s="66"/>
      <c r="BA77" s="66"/>
      <c r="BB77" s="66"/>
      <c r="BC77" s="66">
        <f>+'[1]OCTUBRE 2019'!$AG$3085</f>
        <v>67722598</v>
      </c>
      <c r="BD77" s="22">
        <f t="shared" si="152"/>
        <v>0.20060774251449465</v>
      </c>
      <c r="BE77" s="66">
        <f t="shared" si="104"/>
        <v>47540544</v>
      </c>
      <c r="BF77" s="66">
        <f t="shared" si="105"/>
        <v>0</v>
      </c>
      <c r="BG77" s="66">
        <f t="shared" si="106"/>
        <v>0</v>
      </c>
      <c r="BH77" s="66">
        <f t="shared" si="107"/>
        <v>0</v>
      </c>
      <c r="BI77" s="66">
        <f t="shared" si="108"/>
        <v>0</v>
      </c>
      <c r="BJ77" s="66">
        <f t="shared" si="109"/>
        <v>0</v>
      </c>
      <c r="BK77" s="66">
        <f t="shared" si="110"/>
        <v>0</v>
      </c>
      <c r="BL77" s="66">
        <f t="shared" si="111"/>
        <v>0</v>
      </c>
      <c r="BM77" s="66">
        <f t="shared" si="112"/>
        <v>11367859</v>
      </c>
      <c r="BN77" s="66">
        <f t="shared" si="113"/>
        <v>0</v>
      </c>
      <c r="BO77" s="66">
        <f t="shared" si="114"/>
        <v>0</v>
      </c>
      <c r="BP77" s="66">
        <f t="shared" si="115"/>
        <v>0</v>
      </c>
      <c r="BQ77" s="66">
        <f t="shared" si="116"/>
        <v>0</v>
      </c>
      <c r="BR77" s="66">
        <f t="shared" si="117"/>
        <v>0</v>
      </c>
      <c r="BS77" s="66">
        <f t="shared" si="118"/>
        <v>0</v>
      </c>
      <c r="BT77" s="66">
        <f t="shared" si="119"/>
        <v>0</v>
      </c>
      <c r="BU77" s="66">
        <f t="shared" si="120"/>
        <v>0</v>
      </c>
      <c r="BV77" s="66">
        <f t="shared" si="121"/>
        <v>0</v>
      </c>
      <c r="BW77" s="66">
        <f t="shared" si="122"/>
        <v>0</v>
      </c>
      <c r="BX77" s="66">
        <f t="shared" si="123"/>
        <v>26912685</v>
      </c>
      <c r="BY77" s="66">
        <f t="shared" si="124"/>
        <v>0</v>
      </c>
      <c r="BZ77" s="66">
        <f t="shared" si="125"/>
        <v>0</v>
      </c>
      <c r="CA77" s="66"/>
      <c r="CB77" s="66">
        <f t="shared" si="126"/>
        <v>9260000</v>
      </c>
      <c r="CC77" s="22">
        <f t="shared" si="153"/>
        <v>0.71837883218750098</v>
      </c>
      <c r="CD77" s="66">
        <f t="shared" si="127"/>
        <v>170243282</v>
      </c>
      <c r="CE77" s="66"/>
      <c r="CF77" s="66"/>
      <c r="CG77" s="66"/>
      <c r="CH77" s="66"/>
      <c r="CI77" s="66"/>
      <c r="CJ77" s="66"/>
      <c r="CK77" s="66"/>
      <c r="CL77" s="66">
        <f>+'[1]OCTUBRE 2019'!$H$3083-CW77-DA77</f>
        <v>88101028</v>
      </c>
      <c r="CM77" s="66"/>
      <c r="CN77" s="66"/>
      <c r="CO77" s="66"/>
      <c r="CP77" s="66"/>
      <c r="CQ77" s="66"/>
      <c r="CR77" s="66"/>
      <c r="CS77" s="66"/>
      <c r="CT77" s="66"/>
      <c r="CU77" s="66"/>
      <c r="CV77" s="66"/>
      <c r="CW77" s="66">
        <f>+'[1]OCTUBRE 2019'!$H$3093+'[1]OCTUBRE 2019'!$H$3096+'[1]OCTUBRE 2019'!$H$3098+'[1]OCTUBRE 2019'!$H$3102+'[1]OCTUBRE 2019'!$H$3149+'[1]OCTUBRE 2019'!$H$3154+'[1]OCTUBRE 2019'!$H$3158</f>
        <v>32486726</v>
      </c>
      <c r="CX77" s="66"/>
      <c r="CY77" s="66"/>
      <c r="CZ77" s="66"/>
      <c r="DA77" s="66">
        <f>+'[1]OCTUBRE 2019'!$H$3086+'[1]OCTUBRE 2019'!$H$3091+'[1]OCTUBRE 2019'!$H$3107+'[1]OCTUBRE 2019'!$H$3122+'[1]OCTUBRE 2019'!$H$3126+'[1]OCTUBRE 2019'!$H$3130+'[1]OCTUBRE 2019'!$H$3132+'[1]OCTUBRE 2019'!$H$3159+'[1]OCTUBRE 2019'!$H$3165</f>
        <v>49655528</v>
      </c>
      <c r="DB77" s="22">
        <f t="shared" si="154"/>
        <v>0.28162116781249902</v>
      </c>
      <c r="DC77" s="66">
        <f t="shared" si="128"/>
        <v>66739316</v>
      </c>
      <c r="DD77" s="66">
        <f t="shared" si="129"/>
        <v>0</v>
      </c>
      <c r="DE77" s="66">
        <f t="shared" si="130"/>
        <v>0</v>
      </c>
      <c r="DF77" s="66">
        <f t="shared" si="131"/>
        <v>0</v>
      </c>
      <c r="DG77" s="66">
        <f t="shared" si="132"/>
        <v>0</v>
      </c>
      <c r="DH77" s="66">
        <f t="shared" si="133"/>
        <v>0</v>
      </c>
      <c r="DI77" s="66">
        <f t="shared" si="134"/>
        <v>0</v>
      </c>
      <c r="DJ77" s="66">
        <f t="shared" si="135"/>
        <v>0</v>
      </c>
      <c r="DK77" s="66">
        <f t="shared" si="136"/>
        <v>11898972</v>
      </c>
      <c r="DL77" s="66">
        <f t="shared" si="137"/>
        <v>0</v>
      </c>
      <c r="DM77" s="66">
        <f t="shared" si="138"/>
        <v>0</v>
      </c>
      <c r="DN77" s="66">
        <f t="shared" si="139"/>
        <v>0</v>
      </c>
      <c r="DO77" s="66">
        <f t="shared" si="140"/>
        <v>0</v>
      </c>
      <c r="DP77" s="66">
        <f t="shared" si="141"/>
        <v>0</v>
      </c>
      <c r="DQ77" s="66">
        <f t="shared" si="142"/>
        <v>0</v>
      </c>
      <c r="DR77" s="66">
        <f t="shared" si="143"/>
        <v>0</v>
      </c>
      <c r="DS77" s="66">
        <f t="shared" si="144"/>
        <v>0</v>
      </c>
      <c r="DT77" s="66">
        <f t="shared" si="145"/>
        <v>0</v>
      </c>
      <c r="DU77" s="66">
        <f t="shared" si="146"/>
        <v>0</v>
      </c>
      <c r="DV77" s="66">
        <f t="shared" si="147"/>
        <v>27513274</v>
      </c>
      <c r="DW77" s="66">
        <f t="shared" si="148"/>
        <v>0</v>
      </c>
      <c r="DX77" s="66">
        <f t="shared" si="149"/>
        <v>0</v>
      </c>
      <c r="DY77" s="66"/>
      <c r="DZ77" s="66">
        <f t="shared" si="150"/>
        <v>27327070</v>
      </c>
      <c r="EA77" s="59"/>
      <c r="EB77" s="9">
        <f t="shared" si="155"/>
        <v>236982598</v>
      </c>
      <c r="EC77" s="9">
        <f t="shared" si="156"/>
        <v>236982598</v>
      </c>
      <c r="ED77" s="9">
        <f t="shared" si="157"/>
        <v>236982598</v>
      </c>
    </row>
    <row r="78" spans="1:134" ht="28.8" customHeight="1" x14ac:dyDescent="0.3">
      <c r="A78" s="207"/>
      <c r="B78" s="122"/>
      <c r="C78" s="121" t="s">
        <v>187</v>
      </c>
      <c r="D78" s="69" t="s">
        <v>186</v>
      </c>
      <c r="E78" s="87">
        <v>410</v>
      </c>
      <c r="F78" s="67" t="s">
        <v>161</v>
      </c>
      <c r="G78" s="66">
        <f t="shared" si="102"/>
        <v>5000000</v>
      </c>
      <c r="H78" s="66"/>
      <c r="I78" s="66"/>
      <c r="J78" s="66"/>
      <c r="K78" s="66"/>
      <c r="L78" s="66"/>
      <c r="M78" s="66"/>
      <c r="N78" s="35"/>
      <c r="O78" s="66">
        <f>50000000-50000000</f>
        <v>0</v>
      </c>
      <c r="P78" s="35"/>
      <c r="Q78" s="35"/>
      <c r="R78" s="66"/>
      <c r="S78" s="66"/>
      <c r="T78" s="66"/>
      <c r="U78" s="66"/>
      <c r="V78" s="66"/>
      <c r="W78" s="66"/>
      <c r="X78" s="66"/>
      <c r="Y78" s="66"/>
      <c r="Z78" s="66">
        <f>30000000-30000000</f>
        <v>0</v>
      </c>
      <c r="AA78" s="66"/>
      <c r="AB78" s="66"/>
      <c r="AC78" s="66"/>
      <c r="AD78" s="66">
        <f>5000000</f>
        <v>5000000</v>
      </c>
      <c r="AE78" s="22">
        <f t="shared" si="151"/>
        <v>0.1140084</v>
      </c>
      <c r="AF78" s="66">
        <f t="shared" si="103"/>
        <v>570042</v>
      </c>
      <c r="AG78" s="66"/>
      <c r="AH78" s="66"/>
      <c r="AI78" s="66"/>
      <c r="AJ78" s="66"/>
      <c r="AK78" s="66"/>
      <c r="AL78" s="66"/>
      <c r="AM78" s="66"/>
      <c r="AN78" s="66"/>
      <c r="AO78" s="66"/>
      <c r="AP78" s="66"/>
      <c r="AQ78" s="66"/>
      <c r="AR78" s="66"/>
      <c r="AS78" s="66"/>
      <c r="AT78" s="66"/>
      <c r="AU78" s="66"/>
      <c r="AV78" s="66"/>
      <c r="AW78" s="66"/>
      <c r="AX78" s="66"/>
      <c r="AY78" s="66"/>
      <c r="AZ78" s="66"/>
      <c r="BA78" s="66"/>
      <c r="BB78" s="66"/>
      <c r="BC78" s="66">
        <f>+'[10]ABRIL 2019'!$AF$1191</f>
        <v>570042</v>
      </c>
      <c r="BD78" s="22">
        <f t="shared" si="152"/>
        <v>0.88599159999999999</v>
      </c>
      <c r="BE78" s="66">
        <f t="shared" si="104"/>
        <v>4429958</v>
      </c>
      <c r="BF78" s="66">
        <f t="shared" si="105"/>
        <v>0</v>
      </c>
      <c r="BG78" s="66">
        <f t="shared" si="106"/>
        <v>0</v>
      </c>
      <c r="BH78" s="66">
        <f t="shared" si="107"/>
        <v>0</v>
      </c>
      <c r="BI78" s="66">
        <f t="shared" si="108"/>
        <v>0</v>
      </c>
      <c r="BJ78" s="66">
        <f t="shared" si="109"/>
        <v>0</v>
      </c>
      <c r="BK78" s="66">
        <f t="shared" si="110"/>
        <v>0</v>
      </c>
      <c r="BL78" s="66">
        <f t="shared" si="111"/>
        <v>0</v>
      </c>
      <c r="BM78" s="66">
        <f t="shared" si="112"/>
        <v>0</v>
      </c>
      <c r="BN78" s="66">
        <f t="shared" si="113"/>
        <v>0</v>
      </c>
      <c r="BO78" s="66">
        <f t="shared" si="114"/>
        <v>0</v>
      </c>
      <c r="BP78" s="66">
        <f t="shared" si="115"/>
        <v>0</v>
      </c>
      <c r="BQ78" s="66">
        <f t="shared" si="116"/>
        <v>0</v>
      </c>
      <c r="BR78" s="66">
        <f t="shared" si="117"/>
        <v>0</v>
      </c>
      <c r="BS78" s="66">
        <f t="shared" si="118"/>
        <v>0</v>
      </c>
      <c r="BT78" s="66">
        <f t="shared" si="119"/>
        <v>0</v>
      </c>
      <c r="BU78" s="66">
        <f t="shared" si="120"/>
        <v>0</v>
      </c>
      <c r="BV78" s="66">
        <f t="shared" si="121"/>
        <v>0</v>
      </c>
      <c r="BW78" s="66">
        <f t="shared" si="122"/>
        <v>0</v>
      </c>
      <c r="BX78" s="66">
        <f t="shared" si="123"/>
        <v>0</v>
      </c>
      <c r="BY78" s="66">
        <f t="shared" si="124"/>
        <v>0</v>
      </c>
      <c r="BZ78" s="66">
        <f t="shared" si="125"/>
        <v>0</v>
      </c>
      <c r="CA78" s="66"/>
      <c r="CB78" s="66">
        <f t="shared" si="126"/>
        <v>4429958</v>
      </c>
      <c r="CC78" s="22">
        <f t="shared" si="153"/>
        <v>0.1140084</v>
      </c>
      <c r="CD78" s="66">
        <f t="shared" si="127"/>
        <v>570042</v>
      </c>
      <c r="CE78" s="66"/>
      <c r="CF78" s="66"/>
      <c r="CG78" s="66"/>
      <c r="CH78" s="66"/>
      <c r="CI78" s="66"/>
      <c r="CJ78" s="66"/>
      <c r="CK78" s="66"/>
      <c r="CL78" s="66"/>
      <c r="CM78" s="66"/>
      <c r="CN78" s="66"/>
      <c r="CO78" s="66"/>
      <c r="CP78" s="66"/>
      <c r="CQ78" s="66"/>
      <c r="CR78" s="66"/>
      <c r="CS78" s="66"/>
      <c r="CT78" s="66"/>
      <c r="CU78" s="66"/>
      <c r="CV78" s="66"/>
      <c r="CW78" s="66"/>
      <c r="CX78" s="66"/>
      <c r="CY78" s="66"/>
      <c r="CZ78" s="66"/>
      <c r="DA78" s="66">
        <f>+'[10]ABRIL 2019'!$AF$1191</f>
        <v>570042</v>
      </c>
      <c r="DB78" s="22">
        <f t="shared" si="154"/>
        <v>0.88599159999999999</v>
      </c>
      <c r="DC78" s="66">
        <f t="shared" si="128"/>
        <v>4429958</v>
      </c>
      <c r="DD78" s="66">
        <f t="shared" si="129"/>
        <v>0</v>
      </c>
      <c r="DE78" s="66">
        <f t="shared" si="130"/>
        <v>0</v>
      </c>
      <c r="DF78" s="66">
        <f t="shared" si="131"/>
        <v>0</v>
      </c>
      <c r="DG78" s="66">
        <f t="shared" si="132"/>
        <v>0</v>
      </c>
      <c r="DH78" s="66">
        <f t="shared" si="133"/>
        <v>0</v>
      </c>
      <c r="DI78" s="66">
        <f t="shared" si="134"/>
        <v>0</v>
      </c>
      <c r="DJ78" s="66">
        <f t="shared" si="135"/>
        <v>0</v>
      </c>
      <c r="DK78" s="66">
        <f t="shared" si="136"/>
        <v>0</v>
      </c>
      <c r="DL78" s="66">
        <f t="shared" si="137"/>
        <v>0</v>
      </c>
      <c r="DM78" s="66">
        <f t="shared" si="138"/>
        <v>0</v>
      </c>
      <c r="DN78" s="66">
        <f t="shared" si="139"/>
        <v>0</v>
      </c>
      <c r="DO78" s="66">
        <f t="shared" si="140"/>
        <v>0</v>
      </c>
      <c r="DP78" s="66">
        <f t="shared" si="141"/>
        <v>0</v>
      </c>
      <c r="DQ78" s="66">
        <f t="shared" si="142"/>
        <v>0</v>
      </c>
      <c r="DR78" s="66">
        <f t="shared" si="143"/>
        <v>0</v>
      </c>
      <c r="DS78" s="66">
        <f t="shared" si="144"/>
        <v>0</v>
      </c>
      <c r="DT78" s="66">
        <f t="shared" si="145"/>
        <v>0</v>
      </c>
      <c r="DU78" s="66">
        <f t="shared" si="146"/>
        <v>0</v>
      </c>
      <c r="DV78" s="66">
        <f t="shared" si="147"/>
        <v>0</v>
      </c>
      <c r="DW78" s="66">
        <f t="shared" si="148"/>
        <v>0</v>
      </c>
      <c r="DX78" s="66">
        <f t="shared" si="149"/>
        <v>0</v>
      </c>
      <c r="DY78" s="66"/>
      <c r="DZ78" s="66">
        <f t="shared" si="150"/>
        <v>4429958</v>
      </c>
      <c r="EA78" s="59"/>
      <c r="EB78" s="9">
        <f t="shared" si="155"/>
        <v>5000000</v>
      </c>
      <c r="EC78" s="9">
        <f t="shared" si="156"/>
        <v>5000000</v>
      </c>
      <c r="ED78" s="9">
        <f t="shared" si="157"/>
        <v>5000000</v>
      </c>
    </row>
    <row r="79" spans="1:134" ht="57.6" customHeight="1" x14ac:dyDescent="0.3">
      <c r="A79" s="207"/>
      <c r="B79" s="122"/>
      <c r="C79" s="121" t="s">
        <v>185</v>
      </c>
      <c r="D79" s="69" t="s">
        <v>184</v>
      </c>
      <c r="E79" s="87">
        <v>410</v>
      </c>
      <c r="F79" s="67" t="s">
        <v>161</v>
      </c>
      <c r="G79" s="66">
        <f t="shared" si="102"/>
        <v>300423391</v>
      </c>
      <c r="H79" s="66"/>
      <c r="I79" s="66"/>
      <c r="J79" s="66"/>
      <c r="K79" s="66"/>
      <c r="L79" s="66"/>
      <c r="M79" s="66"/>
      <c r="N79" s="35"/>
      <c r="O79" s="66">
        <v>50000000</v>
      </c>
      <c r="P79" s="35"/>
      <c r="Q79" s="35"/>
      <c r="R79" s="66"/>
      <c r="S79" s="66"/>
      <c r="T79" s="66"/>
      <c r="U79" s="66"/>
      <c r="V79" s="66"/>
      <c r="W79" s="66"/>
      <c r="X79" s="66"/>
      <c r="Y79" s="66"/>
      <c r="Z79" s="66">
        <f>70423391+80000000+100000000</f>
        <v>250423391</v>
      </c>
      <c r="AA79" s="66"/>
      <c r="AB79" s="66"/>
      <c r="AC79" s="66"/>
      <c r="AD79" s="66">
        <f>8000000-8000000</f>
        <v>0</v>
      </c>
      <c r="AE79" s="22">
        <f t="shared" si="151"/>
        <v>0.47305556843275232</v>
      </c>
      <c r="AF79" s="66">
        <f t="shared" si="103"/>
        <v>142116958</v>
      </c>
      <c r="AG79" s="66"/>
      <c r="AH79" s="66"/>
      <c r="AI79" s="66"/>
      <c r="AJ79" s="66"/>
      <c r="AK79" s="66"/>
      <c r="AL79" s="66"/>
      <c r="AM79" s="66"/>
      <c r="AN79" s="66">
        <f>+'[3]JULIO 2019'!$P$2109</f>
        <v>46243827</v>
      </c>
      <c r="AO79" s="66"/>
      <c r="AP79" s="66"/>
      <c r="AQ79" s="66"/>
      <c r="AR79" s="66"/>
      <c r="AS79" s="66"/>
      <c r="AT79" s="66"/>
      <c r="AU79" s="66"/>
      <c r="AV79" s="66"/>
      <c r="AW79" s="66"/>
      <c r="AX79" s="66"/>
      <c r="AY79" s="66">
        <f>+'[1]OCTUBRE 2019'!$AB$3180</f>
        <v>95873131</v>
      </c>
      <c r="AZ79" s="66"/>
      <c r="BA79" s="66"/>
      <c r="BB79" s="66"/>
      <c r="BC79" s="66"/>
      <c r="BD79" s="22">
        <f t="shared" si="152"/>
        <v>0.52694443156724768</v>
      </c>
      <c r="BE79" s="66">
        <f t="shared" si="104"/>
        <v>158306433</v>
      </c>
      <c r="BF79" s="66">
        <f t="shared" si="105"/>
        <v>0</v>
      </c>
      <c r="BG79" s="66">
        <f t="shared" si="106"/>
        <v>0</v>
      </c>
      <c r="BH79" s="66">
        <f t="shared" si="107"/>
        <v>0</v>
      </c>
      <c r="BI79" s="66">
        <f t="shared" si="108"/>
        <v>0</v>
      </c>
      <c r="BJ79" s="66">
        <f t="shared" si="109"/>
        <v>0</v>
      </c>
      <c r="BK79" s="66">
        <f t="shared" si="110"/>
        <v>0</v>
      </c>
      <c r="BL79" s="66">
        <f t="shared" si="111"/>
        <v>0</v>
      </c>
      <c r="BM79" s="66">
        <f t="shared" si="112"/>
        <v>3756173</v>
      </c>
      <c r="BN79" s="66">
        <f t="shared" si="113"/>
        <v>0</v>
      </c>
      <c r="BO79" s="66">
        <f t="shared" si="114"/>
        <v>0</v>
      </c>
      <c r="BP79" s="66">
        <f t="shared" si="115"/>
        <v>0</v>
      </c>
      <c r="BQ79" s="66">
        <f t="shared" si="116"/>
        <v>0</v>
      </c>
      <c r="BR79" s="66">
        <f t="shared" si="117"/>
        <v>0</v>
      </c>
      <c r="BS79" s="66">
        <f t="shared" si="118"/>
        <v>0</v>
      </c>
      <c r="BT79" s="66">
        <f t="shared" si="119"/>
        <v>0</v>
      </c>
      <c r="BU79" s="66">
        <f t="shared" si="120"/>
        <v>0</v>
      </c>
      <c r="BV79" s="66">
        <f t="shared" si="121"/>
        <v>0</v>
      </c>
      <c r="BW79" s="66">
        <f t="shared" si="122"/>
        <v>0</v>
      </c>
      <c r="BX79" s="66">
        <f t="shared" si="123"/>
        <v>154550260</v>
      </c>
      <c r="BY79" s="66">
        <f t="shared" si="124"/>
        <v>0</v>
      </c>
      <c r="BZ79" s="66">
        <f t="shared" si="125"/>
        <v>0</v>
      </c>
      <c r="CA79" s="66"/>
      <c r="CB79" s="66">
        <f t="shared" si="126"/>
        <v>0</v>
      </c>
      <c r="CC79" s="22">
        <f t="shared" si="153"/>
        <v>0.44983959654459793</v>
      </c>
      <c r="CD79" s="66">
        <f t="shared" si="127"/>
        <v>135142337</v>
      </c>
      <c r="CE79" s="66"/>
      <c r="CF79" s="66"/>
      <c r="CG79" s="66"/>
      <c r="CH79" s="66"/>
      <c r="CI79" s="66"/>
      <c r="CJ79" s="66"/>
      <c r="CK79" s="66"/>
      <c r="CL79" s="66">
        <f>+'[1]OCTUBRE 2019'!$I$3195+'[1]OCTUBRE 2019'!$H$3196+'[1]OCTUBRE 2019'!$H$3202+'[1]OCTUBRE 2019'!$H$3237</f>
        <v>45823827</v>
      </c>
      <c r="CM79" s="66"/>
      <c r="CN79" s="66"/>
      <c r="CO79" s="66"/>
      <c r="CP79" s="66"/>
      <c r="CQ79" s="66"/>
      <c r="CR79" s="66"/>
      <c r="CS79" s="66"/>
      <c r="CT79" s="66"/>
      <c r="CU79" s="66"/>
      <c r="CV79" s="66"/>
      <c r="CW79" s="66">
        <f>+'[1]OCTUBRE 2019'!$H$3178-CL79</f>
        <v>89318510</v>
      </c>
      <c r="CX79" s="66"/>
      <c r="CY79" s="66"/>
      <c r="CZ79" s="66"/>
      <c r="DA79" s="66"/>
      <c r="DB79" s="22">
        <f t="shared" si="154"/>
        <v>0.55016040345540207</v>
      </c>
      <c r="DC79" s="66">
        <f t="shared" si="128"/>
        <v>165281054</v>
      </c>
      <c r="DD79" s="66">
        <f t="shared" si="129"/>
        <v>0</v>
      </c>
      <c r="DE79" s="66">
        <f t="shared" si="130"/>
        <v>0</v>
      </c>
      <c r="DF79" s="66">
        <f t="shared" si="131"/>
        <v>0</v>
      </c>
      <c r="DG79" s="66">
        <f t="shared" si="132"/>
        <v>0</v>
      </c>
      <c r="DH79" s="66">
        <f t="shared" si="133"/>
        <v>0</v>
      </c>
      <c r="DI79" s="66">
        <f t="shared" si="134"/>
        <v>0</v>
      </c>
      <c r="DJ79" s="66">
        <f t="shared" si="135"/>
        <v>0</v>
      </c>
      <c r="DK79" s="66">
        <f t="shared" si="136"/>
        <v>4176173</v>
      </c>
      <c r="DL79" s="66">
        <f t="shared" si="137"/>
        <v>0</v>
      </c>
      <c r="DM79" s="66">
        <f t="shared" si="138"/>
        <v>0</v>
      </c>
      <c r="DN79" s="66">
        <f t="shared" si="139"/>
        <v>0</v>
      </c>
      <c r="DO79" s="66">
        <f t="shared" si="140"/>
        <v>0</v>
      </c>
      <c r="DP79" s="66">
        <f t="shared" si="141"/>
        <v>0</v>
      </c>
      <c r="DQ79" s="66">
        <f t="shared" si="142"/>
        <v>0</v>
      </c>
      <c r="DR79" s="66">
        <f t="shared" si="143"/>
        <v>0</v>
      </c>
      <c r="DS79" s="66">
        <f t="shared" si="144"/>
        <v>0</v>
      </c>
      <c r="DT79" s="66">
        <f t="shared" si="145"/>
        <v>0</v>
      </c>
      <c r="DU79" s="66">
        <f t="shared" si="146"/>
        <v>0</v>
      </c>
      <c r="DV79" s="66">
        <f t="shared" si="147"/>
        <v>161104881</v>
      </c>
      <c r="DW79" s="66">
        <f t="shared" si="148"/>
        <v>0</v>
      </c>
      <c r="DX79" s="66">
        <f t="shared" si="149"/>
        <v>0</v>
      </c>
      <c r="DY79" s="66"/>
      <c r="DZ79" s="66">
        <f t="shared" si="150"/>
        <v>0</v>
      </c>
      <c r="EA79" s="59"/>
      <c r="EB79" s="9">
        <f t="shared" si="155"/>
        <v>300423391</v>
      </c>
      <c r="EC79" s="9">
        <f t="shared" si="156"/>
        <v>300423391</v>
      </c>
      <c r="ED79" s="9">
        <f t="shared" si="157"/>
        <v>300423391</v>
      </c>
    </row>
    <row r="80" spans="1:134" s="59" customFormat="1" ht="17.25" customHeight="1" thickBot="1" x14ac:dyDescent="0.35">
      <c r="A80" s="120"/>
      <c r="B80" s="236" t="s">
        <v>183</v>
      </c>
      <c r="C80" s="236"/>
      <c r="D80" s="236"/>
      <c r="E80" s="236"/>
      <c r="F80" s="119"/>
      <c r="G80" s="61">
        <f t="shared" ref="G80:AD80" si="158">SUM(G40:G79)</f>
        <v>9091266497</v>
      </c>
      <c r="H80" s="61">
        <f t="shared" si="158"/>
        <v>0</v>
      </c>
      <c r="I80" s="61">
        <f t="shared" si="158"/>
        <v>0</v>
      </c>
      <c r="J80" s="61">
        <f t="shared" si="158"/>
        <v>0</v>
      </c>
      <c r="K80" s="61">
        <f t="shared" si="158"/>
        <v>0</v>
      </c>
      <c r="L80" s="61">
        <f t="shared" si="158"/>
        <v>0</v>
      </c>
      <c r="M80" s="61">
        <f t="shared" si="158"/>
        <v>0</v>
      </c>
      <c r="N80" s="61">
        <f t="shared" si="158"/>
        <v>0</v>
      </c>
      <c r="O80" s="61">
        <f t="shared" si="158"/>
        <v>2419061682</v>
      </c>
      <c r="P80" s="61">
        <f t="shared" si="158"/>
        <v>45960534</v>
      </c>
      <c r="Q80" s="61">
        <f t="shared" si="158"/>
        <v>45960534</v>
      </c>
      <c r="R80" s="61">
        <f t="shared" si="158"/>
        <v>85960534</v>
      </c>
      <c r="S80" s="61">
        <f t="shared" si="158"/>
        <v>797458202</v>
      </c>
      <c r="T80" s="61">
        <f t="shared" si="158"/>
        <v>30000000</v>
      </c>
      <c r="U80" s="61">
        <f t="shared" si="158"/>
        <v>60000000</v>
      </c>
      <c r="V80" s="61">
        <f t="shared" si="158"/>
        <v>20000000</v>
      </c>
      <c r="W80" s="61">
        <f t="shared" si="158"/>
        <v>3457651561</v>
      </c>
      <c r="X80" s="61">
        <f t="shared" si="158"/>
        <v>90000000</v>
      </c>
      <c r="Y80" s="61">
        <f t="shared" si="158"/>
        <v>52565530</v>
      </c>
      <c r="Z80" s="61">
        <f t="shared" si="158"/>
        <v>1116053744</v>
      </c>
      <c r="AA80" s="61">
        <f t="shared" si="158"/>
        <v>0</v>
      </c>
      <c r="AB80" s="61">
        <f t="shared" si="158"/>
        <v>453752865</v>
      </c>
      <c r="AC80" s="61">
        <f t="shared" si="158"/>
        <v>0</v>
      </c>
      <c r="AD80" s="61">
        <f t="shared" si="158"/>
        <v>416841311</v>
      </c>
      <c r="AE80" s="62">
        <f t="shared" si="151"/>
        <v>0.61692958300703082</v>
      </c>
      <c r="AF80" s="61">
        <f>SUM(AF40:AF79)</f>
        <v>5608671249</v>
      </c>
      <c r="AG80" s="61">
        <f>SUM(AG40:AG79)</f>
        <v>0</v>
      </c>
      <c r="AH80" s="61">
        <f>SUM(AH40:AH79)</f>
        <v>0</v>
      </c>
      <c r="AI80" s="61">
        <f>SUM(AI40:AI79)</f>
        <v>0</v>
      </c>
      <c r="AJ80" s="61"/>
      <c r="AK80" s="61">
        <f t="shared" ref="AK80:BC80" si="159">SUM(AK40:AK79)</f>
        <v>0</v>
      </c>
      <c r="AL80" s="61">
        <f t="shared" si="159"/>
        <v>0</v>
      </c>
      <c r="AM80" s="61">
        <f t="shared" si="159"/>
        <v>0</v>
      </c>
      <c r="AN80" s="61">
        <f t="shared" si="159"/>
        <v>1802685139</v>
      </c>
      <c r="AO80" s="61">
        <f t="shared" si="159"/>
        <v>0</v>
      </c>
      <c r="AP80" s="61">
        <f t="shared" si="159"/>
        <v>4442302</v>
      </c>
      <c r="AQ80" s="61">
        <f t="shared" si="159"/>
        <v>5005939</v>
      </c>
      <c r="AR80" s="61">
        <f t="shared" si="159"/>
        <v>688781491</v>
      </c>
      <c r="AS80" s="61">
        <f t="shared" si="159"/>
        <v>1614681</v>
      </c>
      <c r="AT80" s="61">
        <f t="shared" si="159"/>
        <v>9977239</v>
      </c>
      <c r="AU80" s="61">
        <f t="shared" si="159"/>
        <v>2592938</v>
      </c>
      <c r="AV80" s="61">
        <f t="shared" si="159"/>
        <v>1778728458</v>
      </c>
      <c r="AW80" s="61">
        <f t="shared" si="159"/>
        <v>90000000</v>
      </c>
      <c r="AX80" s="61">
        <f t="shared" si="159"/>
        <v>0</v>
      </c>
      <c r="AY80" s="61">
        <f t="shared" si="159"/>
        <v>722811855</v>
      </c>
      <c r="AZ80" s="61">
        <f t="shared" si="159"/>
        <v>0</v>
      </c>
      <c r="BA80" s="61">
        <f t="shared" si="159"/>
        <v>254320879</v>
      </c>
      <c r="BB80" s="61">
        <f t="shared" si="159"/>
        <v>0</v>
      </c>
      <c r="BC80" s="61">
        <f t="shared" si="159"/>
        <v>247710328</v>
      </c>
      <c r="BD80" s="62">
        <f t="shared" si="152"/>
        <v>0.38307041699296918</v>
      </c>
      <c r="BE80" s="61">
        <f t="shared" ref="BE80:CB80" si="160">SUM(BE40:BE79)</f>
        <v>3482595248</v>
      </c>
      <c r="BF80" s="61">
        <f t="shared" si="160"/>
        <v>0</v>
      </c>
      <c r="BG80" s="61">
        <f t="shared" si="160"/>
        <v>0</v>
      </c>
      <c r="BH80" s="61">
        <f t="shared" si="160"/>
        <v>0</v>
      </c>
      <c r="BI80" s="61">
        <f t="shared" si="160"/>
        <v>0</v>
      </c>
      <c r="BJ80" s="61">
        <f t="shared" si="160"/>
        <v>0</v>
      </c>
      <c r="BK80" s="61">
        <f t="shared" si="160"/>
        <v>0</v>
      </c>
      <c r="BL80" s="61">
        <f t="shared" si="160"/>
        <v>0</v>
      </c>
      <c r="BM80" s="61">
        <f t="shared" si="160"/>
        <v>616376543</v>
      </c>
      <c r="BN80" s="61">
        <f t="shared" si="160"/>
        <v>45960534</v>
      </c>
      <c r="BO80" s="61">
        <f t="shared" si="160"/>
        <v>41518232</v>
      </c>
      <c r="BP80" s="61">
        <f t="shared" si="160"/>
        <v>80954595</v>
      </c>
      <c r="BQ80" s="61">
        <f t="shared" si="160"/>
        <v>108676711</v>
      </c>
      <c r="BR80" s="61">
        <f t="shared" si="160"/>
        <v>28385319</v>
      </c>
      <c r="BS80" s="61">
        <f t="shared" si="160"/>
        <v>50022761</v>
      </c>
      <c r="BT80" s="61">
        <f t="shared" si="160"/>
        <v>17407062</v>
      </c>
      <c r="BU80" s="61">
        <f t="shared" si="160"/>
        <v>1678923103</v>
      </c>
      <c r="BV80" s="61">
        <f t="shared" si="160"/>
        <v>0</v>
      </c>
      <c r="BW80" s="61">
        <f t="shared" si="160"/>
        <v>52565530</v>
      </c>
      <c r="BX80" s="61">
        <f t="shared" si="160"/>
        <v>393241889</v>
      </c>
      <c r="BY80" s="61">
        <f t="shared" si="160"/>
        <v>0</v>
      </c>
      <c r="BZ80" s="61">
        <f t="shared" si="160"/>
        <v>199431986</v>
      </c>
      <c r="CA80" s="61">
        <f t="shared" si="160"/>
        <v>0</v>
      </c>
      <c r="CB80" s="61">
        <f t="shared" si="160"/>
        <v>169130983</v>
      </c>
      <c r="CC80" s="62">
        <f t="shared" si="153"/>
        <v>0.42409803367575838</v>
      </c>
      <c r="CD80" s="61">
        <f>SUM(CD40:CD79)</f>
        <v>3855588245</v>
      </c>
      <c r="CE80" s="61">
        <f>SUM(CE40:CE79)</f>
        <v>0</v>
      </c>
      <c r="CF80" s="61">
        <f>SUM(CF40:CF79)</f>
        <v>0</v>
      </c>
      <c r="CG80" s="61">
        <f>SUM(CG40:CG79)</f>
        <v>0</v>
      </c>
      <c r="CH80" s="61"/>
      <c r="CI80" s="61">
        <f t="shared" ref="CI80:DA80" si="161">SUM(CI40:CI79)</f>
        <v>0</v>
      </c>
      <c r="CJ80" s="61">
        <f t="shared" si="161"/>
        <v>0</v>
      </c>
      <c r="CK80" s="61">
        <f t="shared" si="161"/>
        <v>0</v>
      </c>
      <c r="CL80" s="61">
        <f t="shared" si="161"/>
        <v>1341255576</v>
      </c>
      <c r="CM80" s="61">
        <f t="shared" si="161"/>
        <v>0</v>
      </c>
      <c r="CN80" s="61">
        <f t="shared" si="161"/>
        <v>4442302</v>
      </c>
      <c r="CO80" s="61">
        <f t="shared" si="161"/>
        <v>4865259</v>
      </c>
      <c r="CP80" s="61">
        <f t="shared" si="161"/>
        <v>508099968</v>
      </c>
      <c r="CQ80" s="61">
        <f t="shared" si="161"/>
        <v>1614681</v>
      </c>
      <c r="CR80" s="61">
        <f t="shared" si="161"/>
        <v>9752686</v>
      </c>
      <c r="CS80" s="61">
        <f t="shared" si="161"/>
        <v>2592938</v>
      </c>
      <c r="CT80" s="61">
        <f t="shared" si="161"/>
        <v>991295154</v>
      </c>
      <c r="CU80" s="61">
        <f t="shared" si="161"/>
        <v>75578503</v>
      </c>
      <c r="CV80" s="61">
        <f t="shared" si="161"/>
        <v>0</v>
      </c>
      <c r="CW80" s="61">
        <f t="shared" si="161"/>
        <v>518088840</v>
      </c>
      <c r="CX80" s="61">
        <f t="shared" si="161"/>
        <v>0</v>
      </c>
      <c r="CY80" s="61">
        <f t="shared" si="161"/>
        <v>208651389</v>
      </c>
      <c r="CZ80" s="61">
        <f t="shared" si="161"/>
        <v>0</v>
      </c>
      <c r="DA80" s="61">
        <f t="shared" si="161"/>
        <v>189350949</v>
      </c>
      <c r="DB80" s="118">
        <f t="shared" si="154"/>
        <v>0.57590196632424162</v>
      </c>
      <c r="DC80" s="61">
        <f>SUM(DC40:DC79)</f>
        <v>5235678252</v>
      </c>
      <c r="DD80" s="61">
        <f>SUM(DD40:DD79)</f>
        <v>0</v>
      </c>
      <c r="DE80" s="61">
        <f>SUM(DE40:DE79)</f>
        <v>0</v>
      </c>
      <c r="DF80" s="61">
        <f>SUM(DF40:DF79)</f>
        <v>0</v>
      </c>
      <c r="DG80" s="61"/>
      <c r="DH80" s="61">
        <f t="shared" ref="DH80:DZ80" si="162">SUM(DH40:DH79)</f>
        <v>0</v>
      </c>
      <c r="DI80" s="61">
        <f t="shared" si="162"/>
        <v>0</v>
      </c>
      <c r="DJ80" s="61">
        <f t="shared" si="162"/>
        <v>0</v>
      </c>
      <c r="DK80" s="61">
        <f t="shared" si="162"/>
        <v>1077806106</v>
      </c>
      <c r="DL80" s="61">
        <f t="shared" si="162"/>
        <v>45960534</v>
      </c>
      <c r="DM80" s="61">
        <f t="shared" si="162"/>
        <v>41518232</v>
      </c>
      <c r="DN80" s="61">
        <f t="shared" si="162"/>
        <v>81095275</v>
      </c>
      <c r="DO80" s="61">
        <f t="shared" si="162"/>
        <v>289358234</v>
      </c>
      <c r="DP80" s="61">
        <f t="shared" si="162"/>
        <v>28385319</v>
      </c>
      <c r="DQ80" s="61">
        <f t="shared" si="162"/>
        <v>50247314</v>
      </c>
      <c r="DR80" s="61">
        <f t="shared" si="162"/>
        <v>17407062</v>
      </c>
      <c r="DS80" s="61">
        <f t="shared" si="162"/>
        <v>2466356407</v>
      </c>
      <c r="DT80" s="61">
        <f t="shared" si="162"/>
        <v>14421497</v>
      </c>
      <c r="DU80" s="61">
        <f t="shared" si="162"/>
        <v>52565530</v>
      </c>
      <c r="DV80" s="61">
        <f t="shared" si="162"/>
        <v>597964904</v>
      </c>
      <c r="DW80" s="61">
        <f t="shared" si="162"/>
        <v>0</v>
      </c>
      <c r="DX80" s="61">
        <f t="shared" si="162"/>
        <v>245101476</v>
      </c>
      <c r="DY80" s="61">
        <f t="shared" si="162"/>
        <v>0</v>
      </c>
      <c r="DZ80" s="61">
        <f t="shared" si="162"/>
        <v>227490362</v>
      </c>
      <c r="EB80" s="9">
        <f t="shared" si="155"/>
        <v>9091266497</v>
      </c>
      <c r="EC80" s="9">
        <f t="shared" si="156"/>
        <v>9091266497</v>
      </c>
      <c r="ED80" s="9">
        <f t="shared" si="157"/>
        <v>9091266497</v>
      </c>
    </row>
    <row r="81" spans="1:136" ht="55.8" customHeight="1" thickTop="1" x14ac:dyDescent="0.3">
      <c r="A81" s="217" t="s">
        <v>133</v>
      </c>
      <c r="B81" s="225" t="s">
        <v>182</v>
      </c>
      <c r="C81" s="117" t="s">
        <v>181</v>
      </c>
      <c r="D81" s="102" t="s">
        <v>180</v>
      </c>
      <c r="E81" s="116">
        <v>520</v>
      </c>
      <c r="F81" s="115" t="s">
        <v>179</v>
      </c>
      <c r="G81" s="66">
        <f t="shared" ref="G81:G103" si="163">SUM(H81:AD81)</f>
        <v>305584229</v>
      </c>
      <c r="H81" s="66"/>
      <c r="I81" s="66">
        <v>150000000</v>
      </c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>
        <f>93493921+30000000+10000000+18000000+8180737-4090429</f>
        <v>155584229</v>
      </c>
      <c r="AE81" s="114">
        <f t="shared" si="151"/>
        <v>0.77336002179615104</v>
      </c>
      <c r="AF81" s="99">
        <f t="shared" ref="AF81:AF103" si="164">SUM(AG81:BC81)</f>
        <v>236326626</v>
      </c>
      <c r="AG81" s="99"/>
      <c r="AH81" s="99">
        <f>+'[1]OCTUBRE 2019'!$K$4145</f>
        <v>110999572</v>
      </c>
      <c r="AI81" s="99"/>
      <c r="AJ81" s="99"/>
      <c r="AK81" s="99"/>
      <c r="AL81" s="99"/>
      <c r="AM81" s="99"/>
      <c r="AN81" s="99"/>
      <c r="AO81" s="99"/>
      <c r="AP81" s="99"/>
      <c r="AQ81" s="99"/>
      <c r="AR81" s="99"/>
      <c r="AS81" s="99"/>
      <c r="AT81" s="99"/>
      <c r="AU81" s="99"/>
      <c r="AV81" s="99"/>
      <c r="AW81" s="99"/>
      <c r="AX81" s="99"/>
      <c r="AY81" s="99"/>
      <c r="AZ81" s="99"/>
      <c r="BA81" s="99"/>
      <c r="BB81" s="99"/>
      <c r="BC81" s="99">
        <f>+'[1]OCTUBRE 2019'!$AG$4145</f>
        <v>125327054</v>
      </c>
      <c r="BD81" s="114">
        <f t="shared" si="152"/>
        <v>0.22663997820384896</v>
      </c>
      <c r="BE81" s="66">
        <f t="shared" ref="BE81:BE103" si="165">SUM(BF81:CB81)</f>
        <v>69257603</v>
      </c>
      <c r="BF81" s="66">
        <f t="shared" ref="BF81:BF100" si="166">H81-AG81</f>
        <v>0</v>
      </c>
      <c r="BG81" s="66">
        <f t="shared" ref="BG81:BG100" si="167">I81-AH81</f>
        <v>39000428</v>
      </c>
      <c r="BH81" s="66">
        <f t="shared" ref="BH81:BH100" si="168">J81-AI81</f>
        <v>0</v>
      </c>
      <c r="BI81" s="66">
        <f t="shared" ref="BI81:BI103" si="169">+K81-AJ81</f>
        <v>0</v>
      </c>
      <c r="BJ81" s="66">
        <f t="shared" ref="BJ81:BJ100" si="170">L81-AK81</f>
        <v>0</v>
      </c>
      <c r="BK81" s="66">
        <f t="shared" ref="BK81:BK100" si="171">M81-AL81</f>
        <v>0</v>
      </c>
      <c r="BL81" s="66">
        <f t="shared" ref="BL81:BL100" si="172">N81-AM81</f>
        <v>0</v>
      </c>
      <c r="BM81" s="66">
        <f t="shared" ref="BM81:BM100" si="173">O81-AN81</f>
        <v>0</v>
      </c>
      <c r="BN81" s="66">
        <f t="shared" ref="BN81:BN100" si="174">P81-AO81</f>
        <v>0</v>
      </c>
      <c r="BO81" s="66">
        <f t="shared" ref="BO81:BO100" si="175">Q81-AP81</f>
        <v>0</v>
      </c>
      <c r="BP81" s="66">
        <f t="shared" ref="BP81:BP100" si="176">R81-AQ81</f>
        <v>0</v>
      </c>
      <c r="BQ81" s="66">
        <f t="shared" ref="BQ81:BQ100" si="177">S81-AR81</f>
        <v>0</v>
      </c>
      <c r="BR81" s="66">
        <f t="shared" ref="BR81:BR100" si="178">T81-AS81</f>
        <v>0</v>
      </c>
      <c r="BS81" s="66">
        <f t="shared" ref="BS81:BS100" si="179">U81-AT81</f>
        <v>0</v>
      </c>
      <c r="BT81" s="66">
        <f t="shared" ref="BT81:BT100" si="180">V81-AU81</f>
        <v>0</v>
      </c>
      <c r="BU81" s="66">
        <f t="shared" ref="BU81:BU100" si="181">W81-AV81</f>
        <v>0</v>
      </c>
      <c r="BV81" s="66">
        <f t="shared" ref="BV81:BV100" si="182">X81-AW81</f>
        <v>0</v>
      </c>
      <c r="BW81" s="66">
        <f t="shared" ref="BW81:BW100" si="183">Y81-AX81</f>
        <v>0</v>
      </c>
      <c r="BX81" s="66">
        <f t="shared" ref="BX81:BX100" si="184">Z81-AY81</f>
        <v>0</v>
      </c>
      <c r="BY81" s="66">
        <f t="shared" ref="BY81:BY100" si="185">AA81-AZ81</f>
        <v>0</v>
      </c>
      <c r="BZ81" s="66">
        <f t="shared" ref="BZ81:BZ100" si="186">AB81-BA81</f>
        <v>0</v>
      </c>
      <c r="CA81" s="66"/>
      <c r="CB81" s="66">
        <f t="shared" ref="CB81:CB100" si="187">AD81-BC81</f>
        <v>30257175</v>
      </c>
      <c r="CC81" s="114">
        <f t="shared" si="153"/>
        <v>0.66435898431132712</v>
      </c>
      <c r="CD81" s="66">
        <f t="shared" ref="CD81:CD103" si="188">SUM(CE81:DA81)</f>
        <v>203017628</v>
      </c>
      <c r="CE81" s="66"/>
      <c r="CF81" s="66">
        <f>+'[1]OCTUBRE 2019'!$H$4156+'[1]OCTUBRE 2019'!$H$4160+'[1]OCTUBRE 2019'!$H$4171+'[1]OCTUBRE 2019'!$H$4175+'[1]OCTUBRE 2019'!$H$4178+'[1]OCTUBRE 2019'!$H$4179+'[1]OCTUBRE 2019'!$H$4180+'[1]OCTUBRE 2019'!$H$4181+'[1]OCTUBRE 2019'!$H$4184+'[1]OCTUBRE 2019'!$H$4187+'[1]OCTUBRE 2019'!$H$4191+'[1]OCTUBRE 2019'!$H$4196+'[1]OCTUBRE 2019'!$H$4197+'[1]OCTUBRE 2019'!$H$4199+'[1]OCTUBRE 2019'!$H$4200+'[1]OCTUBRE 2019'!$H$4201+'[1]OCTUBRE 2019'!$H$4202+'[1]OCTUBRE 2019'!$H$4203+'[1]OCTUBRE 2019'!$H$4205+'[1]OCTUBRE 2019'!$H$4206+'[1]OCTUBRE 2019'!$H$4207+'[1]OCTUBRE 2019'!$H$4208+'[1]OCTUBRE 2019'!$H$4209+'[1]OCTUBRE 2019'!$H$4210+'[1]OCTUBRE 2019'!$H$4212+'[1]OCTUBRE 2019'!$H$4226+'[1]OCTUBRE 2019'!$H$4227+'[1]OCTUBRE 2019'!$H$4229+'[1]OCTUBRE 2019'!$H$4230+'[1]OCTUBRE 2019'!$H$4231+'[1]OCTUBRE 2019'!$H$4232+'[1]OCTUBRE 2019'!$H$4233+'[1]OCTUBRE 2019'!$H$4234+'[1]OCTUBRE 2019'!$H$4236+'[1]OCTUBRE 2019'!$H$4237+'[1]OCTUBRE 2019'!$H$4238+'[1]OCTUBRE 2019'!$H$4240+'[1]OCTUBRE 2019'!$H$4241+'[1]OCTUBRE 2019'!$H$4242+'[1]OCTUBRE 2019'!$H$4244+'[1]OCTUBRE 2019'!$H$4246+'[1]OCTUBRE 2019'!$H$4247+'[1]OCTUBRE 2019'!$H$4248+'[1]OCTUBRE 2019'!$H$4249+'[1]OCTUBRE 2019'!$H$4250+'[1]OCTUBRE 2019'!$H$4259+'[1]OCTUBRE 2019'!$H$4278+'[1]OCTUBRE 2019'!$H$4279+'[1]OCTUBRE 2019'!$H$4280+'[1]OCTUBRE 2019'!$H$4283+'[1]OCTUBRE 2019'!$H$4285+'[1]OCTUBRE 2019'!$H$4288</f>
        <v>108399572</v>
      </c>
      <c r="CG81" s="66"/>
      <c r="CH81" s="66"/>
      <c r="CI81" s="66"/>
      <c r="CJ81" s="66"/>
      <c r="CK81" s="66"/>
      <c r="CL81" s="66"/>
      <c r="CM81" s="66"/>
      <c r="CN81" s="66"/>
      <c r="CO81" s="66"/>
      <c r="CP81" s="66"/>
      <c r="CQ81" s="66"/>
      <c r="CR81" s="66"/>
      <c r="CS81" s="66"/>
      <c r="CT81" s="66"/>
      <c r="CU81" s="66"/>
      <c r="CV81" s="66"/>
      <c r="CW81" s="66"/>
      <c r="CX81" s="66"/>
      <c r="CY81" s="66"/>
      <c r="CZ81" s="66"/>
      <c r="DA81" s="66">
        <f>+'[1]OCTUBRE 2019'!$H$4143-CF81</f>
        <v>94618056</v>
      </c>
      <c r="DB81" s="22">
        <f t="shared" si="154"/>
        <v>0.33564101568867288</v>
      </c>
      <c r="DC81" s="66">
        <f t="shared" ref="DC81:DC120" si="189">SUM(DD81:DZ81)</f>
        <v>102566601</v>
      </c>
      <c r="DD81" s="66">
        <f t="shared" ref="DD81:DD103" si="190">H81-CE81</f>
        <v>0</v>
      </c>
      <c r="DE81" s="66">
        <f t="shared" ref="DE81:DE103" si="191">I81-CF81</f>
        <v>41600428</v>
      </c>
      <c r="DF81" s="66"/>
      <c r="DG81" s="66">
        <f t="shared" ref="DG81:DG103" si="192">K81-CH81</f>
        <v>0</v>
      </c>
      <c r="DH81" s="66">
        <f t="shared" ref="DH81:DH103" si="193">L81-CI81</f>
        <v>0</v>
      </c>
      <c r="DI81" s="66">
        <f t="shared" ref="DI81:DI103" si="194">M81-CJ81</f>
        <v>0</v>
      </c>
      <c r="DJ81" s="66">
        <f t="shared" ref="DJ81:DJ103" si="195">N81-CK81</f>
        <v>0</v>
      </c>
      <c r="DK81" s="66">
        <f t="shared" ref="DK81:DK103" si="196">O81-CL81</f>
        <v>0</v>
      </c>
      <c r="DL81" s="66">
        <f t="shared" ref="DL81:DL103" si="197">P81-CM81</f>
        <v>0</v>
      </c>
      <c r="DM81" s="66">
        <f t="shared" ref="DM81:DM103" si="198">Q81-CN81</f>
        <v>0</v>
      </c>
      <c r="DN81" s="66">
        <f t="shared" ref="DN81:DN103" si="199">R81-CO81</f>
        <v>0</v>
      </c>
      <c r="DO81" s="66">
        <f t="shared" ref="DO81:DO103" si="200">S81-CP81</f>
        <v>0</v>
      </c>
      <c r="DP81" s="66">
        <f t="shared" ref="DP81:DP103" si="201">T81-CQ81</f>
        <v>0</v>
      </c>
      <c r="DQ81" s="66">
        <f t="shared" ref="DQ81:DQ103" si="202">U81-CR81</f>
        <v>0</v>
      </c>
      <c r="DR81" s="66">
        <f t="shared" ref="DR81:DR103" si="203">V81-CS81</f>
        <v>0</v>
      </c>
      <c r="DS81" s="66">
        <f t="shared" ref="DS81:DS103" si="204">W81-CT81</f>
        <v>0</v>
      </c>
      <c r="DT81" s="66">
        <f t="shared" ref="DT81:DT103" si="205">X81-CU81</f>
        <v>0</v>
      </c>
      <c r="DU81" s="66">
        <f t="shared" ref="DU81:DU103" si="206">Y81-CV81</f>
        <v>0</v>
      </c>
      <c r="DV81" s="66">
        <f t="shared" ref="DV81:DV103" si="207">Z81-CW81</f>
        <v>0</v>
      </c>
      <c r="DW81" s="66">
        <f t="shared" ref="DW81:DW103" si="208">AA81-CX81</f>
        <v>0</v>
      </c>
      <c r="DX81" s="66">
        <f t="shared" ref="DX81:DX103" si="209">AB81-CY81</f>
        <v>0</v>
      </c>
      <c r="DY81" s="66"/>
      <c r="DZ81" s="66">
        <f t="shared" ref="DZ81:DZ103" si="210">AD81-DA81</f>
        <v>60966173</v>
      </c>
      <c r="EB81" s="9">
        <f t="shared" si="155"/>
        <v>305584229</v>
      </c>
      <c r="EC81" s="9">
        <f t="shared" si="156"/>
        <v>305584229</v>
      </c>
      <c r="ED81" s="9">
        <f t="shared" si="157"/>
        <v>305584229</v>
      </c>
      <c r="EF81" s="9"/>
    </row>
    <row r="82" spans="1:136" ht="72.599999999999994" customHeight="1" x14ac:dyDescent="0.3">
      <c r="A82" s="218"/>
      <c r="B82" s="225"/>
      <c r="C82" s="101" t="s">
        <v>178</v>
      </c>
      <c r="D82" s="69" t="s">
        <v>177</v>
      </c>
      <c r="E82" s="87">
        <v>520</v>
      </c>
      <c r="F82" s="67" t="s">
        <v>127</v>
      </c>
      <c r="G82" s="66">
        <f t="shared" si="163"/>
        <v>20000000</v>
      </c>
      <c r="H82" s="66"/>
      <c r="I82" s="66">
        <v>20000000</v>
      </c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  <c r="AA82" s="66"/>
      <c r="AB82" s="66"/>
      <c r="AC82" s="66"/>
      <c r="AD82" s="66"/>
      <c r="AE82" s="22">
        <f t="shared" si="151"/>
        <v>0.50870000000000004</v>
      </c>
      <c r="AF82" s="66">
        <f t="shared" si="164"/>
        <v>10174000</v>
      </c>
      <c r="AG82" s="66"/>
      <c r="AH82" s="66">
        <f>+'[1]OCTUBRE 2019'!$K$4294</f>
        <v>10174000</v>
      </c>
      <c r="AI82" s="66"/>
      <c r="AJ82" s="66"/>
      <c r="AK82" s="66"/>
      <c r="AL82" s="66"/>
      <c r="AM82" s="66"/>
      <c r="AN82" s="66"/>
      <c r="AO82" s="66"/>
      <c r="AP82" s="66"/>
      <c r="AQ82" s="66"/>
      <c r="AR82" s="66"/>
      <c r="AS82" s="66"/>
      <c r="AT82" s="66"/>
      <c r="AU82" s="66"/>
      <c r="AV82" s="66"/>
      <c r="AW82" s="66"/>
      <c r="AX82" s="66"/>
      <c r="AY82" s="66"/>
      <c r="AZ82" s="66"/>
      <c r="BA82" s="66"/>
      <c r="BB82" s="66"/>
      <c r="BC82" s="66"/>
      <c r="BD82" s="22">
        <f t="shared" si="152"/>
        <v>0.49129999999999996</v>
      </c>
      <c r="BE82" s="66">
        <f t="shared" si="165"/>
        <v>9826000</v>
      </c>
      <c r="BF82" s="66">
        <f t="shared" si="166"/>
        <v>0</v>
      </c>
      <c r="BG82" s="66">
        <f t="shared" si="167"/>
        <v>9826000</v>
      </c>
      <c r="BH82" s="66">
        <f t="shared" si="168"/>
        <v>0</v>
      </c>
      <c r="BI82" s="66">
        <f t="shared" si="169"/>
        <v>0</v>
      </c>
      <c r="BJ82" s="66">
        <f t="shared" si="170"/>
        <v>0</v>
      </c>
      <c r="BK82" s="66">
        <f t="shared" si="171"/>
        <v>0</v>
      </c>
      <c r="BL82" s="66">
        <f t="shared" si="172"/>
        <v>0</v>
      </c>
      <c r="BM82" s="66">
        <f t="shared" si="173"/>
        <v>0</v>
      </c>
      <c r="BN82" s="66">
        <f t="shared" si="174"/>
        <v>0</v>
      </c>
      <c r="BO82" s="66">
        <f t="shared" si="175"/>
        <v>0</v>
      </c>
      <c r="BP82" s="66">
        <f t="shared" si="176"/>
        <v>0</v>
      </c>
      <c r="BQ82" s="66">
        <f t="shared" si="177"/>
        <v>0</v>
      </c>
      <c r="BR82" s="66">
        <f t="shared" si="178"/>
        <v>0</v>
      </c>
      <c r="BS82" s="66">
        <f t="shared" si="179"/>
        <v>0</v>
      </c>
      <c r="BT82" s="66">
        <f t="shared" si="180"/>
        <v>0</v>
      </c>
      <c r="BU82" s="66">
        <f t="shared" si="181"/>
        <v>0</v>
      </c>
      <c r="BV82" s="66">
        <f t="shared" si="182"/>
        <v>0</v>
      </c>
      <c r="BW82" s="66">
        <f t="shared" si="183"/>
        <v>0</v>
      </c>
      <c r="BX82" s="66">
        <f t="shared" si="184"/>
        <v>0</v>
      </c>
      <c r="BY82" s="66">
        <f t="shared" si="185"/>
        <v>0</v>
      </c>
      <c r="BZ82" s="66">
        <f t="shared" si="186"/>
        <v>0</v>
      </c>
      <c r="CA82" s="66"/>
      <c r="CB82" s="66">
        <f t="shared" si="187"/>
        <v>0</v>
      </c>
      <c r="CC82" s="22">
        <f t="shared" si="153"/>
        <v>0.41875000000000001</v>
      </c>
      <c r="CD82" s="66">
        <f t="shared" si="188"/>
        <v>8375000</v>
      </c>
      <c r="CE82" s="66"/>
      <c r="CF82" s="66">
        <f>+'[1]OCTUBRE 2019'!$H$4292</f>
        <v>8375000</v>
      </c>
      <c r="CG82" s="66"/>
      <c r="CH82" s="66"/>
      <c r="CI82" s="66"/>
      <c r="CJ82" s="66"/>
      <c r="CK82" s="66"/>
      <c r="CL82" s="66"/>
      <c r="CM82" s="66"/>
      <c r="CN82" s="66"/>
      <c r="CO82" s="66"/>
      <c r="CP82" s="66"/>
      <c r="CQ82" s="66"/>
      <c r="CR82" s="66"/>
      <c r="CS82" s="66"/>
      <c r="CT82" s="66"/>
      <c r="CU82" s="66"/>
      <c r="CV82" s="66"/>
      <c r="CW82" s="66"/>
      <c r="CX82" s="66"/>
      <c r="CY82" s="66"/>
      <c r="CZ82" s="66"/>
      <c r="DA82" s="66"/>
      <c r="DB82" s="22">
        <f t="shared" si="154"/>
        <v>0.58125000000000004</v>
      </c>
      <c r="DC82" s="66">
        <f t="shared" si="189"/>
        <v>11625000</v>
      </c>
      <c r="DD82" s="66">
        <f t="shared" si="190"/>
        <v>0</v>
      </c>
      <c r="DE82" s="66">
        <f t="shared" si="191"/>
        <v>11625000</v>
      </c>
      <c r="DF82" s="66"/>
      <c r="DG82" s="66">
        <f t="shared" si="192"/>
        <v>0</v>
      </c>
      <c r="DH82" s="66">
        <f t="shared" si="193"/>
        <v>0</v>
      </c>
      <c r="DI82" s="66">
        <f t="shared" si="194"/>
        <v>0</v>
      </c>
      <c r="DJ82" s="66">
        <f t="shared" si="195"/>
        <v>0</v>
      </c>
      <c r="DK82" s="66">
        <f t="shared" si="196"/>
        <v>0</v>
      </c>
      <c r="DL82" s="66">
        <f t="shared" si="197"/>
        <v>0</v>
      </c>
      <c r="DM82" s="66">
        <f t="shared" si="198"/>
        <v>0</v>
      </c>
      <c r="DN82" s="66">
        <f t="shared" si="199"/>
        <v>0</v>
      </c>
      <c r="DO82" s="66">
        <f t="shared" si="200"/>
        <v>0</v>
      </c>
      <c r="DP82" s="66">
        <f t="shared" si="201"/>
        <v>0</v>
      </c>
      <c r="DQ82" s="66">
        <f t="shared" si="202"/>
        <v>0</v>
      </c>
      <c r="DR82" s="66">
        <f t="shared" si="203"/>
        <v>0</v>
      </c>
      <c r="DS82" s="66">
        <f t="shared" si="204"/>
        <v>0</v>
      </c>
      <c r="DT82" s="66">
        <f t="shared" si="205"/>
        <v>0</v>
      </c>
      <c r="DU82" s="66">
        <f t="shared" si="206"/>
        <v>0</v>
      </c>
      <c r="DV82" s="66">
        <f t="shared" si="207"/>
        <v>0</v>
      </c>
      <c r="DW82" s="66">
        <f t="shared" si="208"/>
        <v>0</v>
      </c>
      <c r="DX82" s="66">
        <f t="shared" si="209"/>
        <v>0</v>
      </c>
      <c r="DY82" s="66"/>
      <c r="DZ82" s="66">
        <f t="shared" si="210"/>
        <v>0</v>
      </c>
      <c r="EB82" s="9">
        <f t="shared" si="155"/>
        <v>20000000</v>
      </c>
      <c r="EC82" s="9">
        <f t="shared" si="156"/>
        <v>20000000</v>
      </c>
      <c r="ED82" s="9">
        <f t="shared" si="157"/>
        <v>20000000</v>
      </c>
    </row>
    <row r="83" spans="1:136" ht="46.2" customHeight="1" x14ac:dyDescent="0.3">
      <c r="A83" s="218"/>
      <c r="B83" s="213"/>
      <c r="C83" s="101" t="s">
        <v>176</v>
      </c>
      <c r="D83" s="71" t="s">
        <v>175</v>
      </c>
      <c r="E83" s="87">
        <v>520</v>
      </c>
      <c r="F83" s="67" t="s">
        <v>174</v>
      </c>
      <c r="G83" s="66">
        <f t="shared" si="163"/>
        <v>50000000</v>
      </c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>
        <v>20000000</v>
      </c>
      <c r="AA83" s="66"/>
      <c r="AB83" s="66"/>
      <c r="AC83" s="66"/>
      <c r="AD83" s="66">
        <f>24000000+4000000+2000000</f>
        <v>30000000</v>
      </c>
      <c r="AE83" s="22">
        <f t="shared" si="151"/>
        <v>0.88865665999999999</v>
      </c>
      <c r="AF83" s="66">
        <f t="shared" si="164"/>
        <v>44432833</v>
      </c>
      <c r="AG83" s="66"/>
      <c r="AH83" s="66"/>
      <c r="AI83" s="66"/>
      <c r="AJ83" s="66"/>
      <c r="AK83" s="66"/>
      <c r="AL83" s="66"/>
      <c r="AM83" s="66"/>
      <c r="AN83" s="66"/>
      <c r="AO83" s="66"/>
      <c r="AP83" s="66"/>
      <c r="AQ83" s="66"/>
      <c r="AR83" s="66"/>
      <c r="AS83" s="66"/>
      <c r="AT83" s="66"/>
      <c r="AU83" s="66"/>
      <c r="AV83" s="66"/>
      <c r="AW83" s="66"/>
      <c r="AX83" s="66"/>
      <c r="AY83" s="66">
        <f>+'[7]AGOSTO 2019'!$AA$3331</f>
        <v>20000000</v>
      </c>
      <c r="AZ83" s="66"/>
      <c r="BA83" s="66"/>
      <c r="BB83" s="66"/>
      <c r="BC83" s="66">
        <f>+'[1]OCTUBRE 2019'!$AG$4307</f>
        <v>24432833</v>
      </c>
      <c r="BD83" s="22">
        <f t="shared" si="152"/>
        <v>0.11134334000000001</v>
      </c>
      <c r="BE83" s="66">
        <f t="shared" si="165"/>
        <v>5567167</v>
      </c>
      <c r="BF83" s="66">
        <f t="shared" si="166"/>
        <v>0</v>
      </c>
      <c r="BG83" s="66">
        <f t="shared" si="167"/>
        <v>0</v>
      </c>
      <c r="BH83" s="66">
        <f t="shared" si="168"/>
        <v>0</v>
      </c>
      <c r="BI83" s="66">
        <f t="shared" si="169"/>
        <v>0</v>
      </c>
      <c r="BJ83" s="66">
        <f t="shared" si="170"/>
        <v>0</v>
      </c>
      <c r="BK83" s="66">
        <f t="shared" si="171"/>
        <v>0</v>
      </c>
      <c r="BL83" s="66">
        <f t="shared" si="172"/>
        <v>0</v>
      </c>
      <c r="BM83" s="66">
        <f t="shared" si="173"/>
        <v>0</v>
      </c>
      <c r="BN83" s="66">
        <f t="shared" si="174"/>
        <v>0</v>
      </c>
      <c r="BO83" s="66">
        <f t="shared" si="175"/>
        <v>0</v>
      </c>
      <c r="BP83" s="66">
        <f t="shared" si="176"/>
        <v>0</v>
      </c>
      <c r="BQ83" s="66">
        <f t="shared" si="177"/>
        <v>0</v>
      </c>
      <c r="BR83" s="66">
        <f t="shared" si="178"/>
        <v>0</v>
      </c>
      <c r="BS83" s="66">
        <f t="shared" si="179"/>
        <v>0</v>
      </c>
      <c r="BT83" s="66">
        <f t="shared" si="180"/>
        <v>0</v>
      </c>
      <c r="BU83" s="66">
        <f t="shared" si="181"/>
        <v>0</v>
      </c>
      <c r="BV83" s="66">
        <f t="shared" si="182"/>
        <v>0</v>
      </c>
      <c r="BW83" s="66">
        <f t="shared" si="183"/>
        <v>0</v>
      </c>
      <c r="BX83" s="66">
        <f t="shared" si="184"/>
        <v>0</v>
      </c>
      <c r="BY83" s="66">
        <f t="shared" si="185"/>
        <v>0</v>
      </c>
      <c r="BZ83" s="66">
        <f t="shared" si="186"/>
        <v>0</v>
      </c>
      <c r="CA83" s="66"/>
      <c r="CB83" s="66">
        <f t="shared" si="187"/>
        <v>5567167</v>
      </c>
      <c r="CC83" s="22">
        <f t="shared" si="153"/>
        <v>0.78865666000000001</v>
      </c>
      <c r="CD83" s="66">
        <f t="shared" si="188"/>
        <v>39432833</v>
      </c>
      <c r="CE83" s="66"/>
      <c r="CF83" s="66"/>
      <c r="CG83" s="66"/>
      <c r="CH83" s="66"/>
      <c r="CI83" s="66"/>
      <c r="CJ83" s="66"/>
      <c r="CK83" s="66"/>
      <c r="CL83" s="66"/>
      <c r="CM83" s="66"/>
      <c r="CN83" s="66"/>
      <c r="CO83" s="66"/>
      <c r="CP83" s="66"/>
      <c r="CQ83" s="66"/>
      <c r="CR83" s="66"/>
      <c r="CS83" s="66"/>
      <c r="CT83" s="66"/>
      <c r="CU83" s="66"/>
      <c r="CV83" s="66"/>
      <c r="CW83" s="66">
        <f>+'[2]SEPTIEMBRE 2019'!$H$3880</f>
        <v>20000000</v>
      </c>
      <c r="CX83" s="66"/>
      <c r="CY83" s="66"/>
      <c r="CZ83" s="66"/>
      <c r="DA83" s="66">
        <f>+'[1]OCTUBRE 2019'!$H$4305-CW83</f>
        <v>19432833</v>
      </c>
      <c r="DB83" s="22">
        <f t="shared" si="154"/>
        <v>0.21134333999999999</v>
      </c>
      <c r="DC83" s="66">
        <f t="shared" si="189"/>
        <v>10567167</v>
      </c>
      <c r="DD83" s="66">
        <f t="shared" si="190"/>
        <v>0</v>
      </c>
      <c r="DE83" s="66">
        <f t="shared" si="191"/>
        <v>0</v>
      </c>
      <c r="DF83" s="66"/>
      <c r="DG83" s="66">
        <f t="shared" si="192"/>
        <v>0</v>
      </c>
      <c r="DH83" s="66">
        <f t="shared" si="193"/>
        <v>0</v>
      </c>
      <c r="DI83" s="66">
        <f t="shared" si="194"/>
        <v>0</v>
      </c>
      <c r="DJ83" s="66">
        <f t="shared" si="195"/>
        <v>0</v>
      </c>
      <c r="DK83" s="66">
        <f t="shared" si="196"/>
        <v>0</v>
      </c>
      <c r="DL83" s="66">
        <f t="shared" si="197"/>
        <v>0</v>
      </c>
      <c r="DM83" s="66">
        <f t="shared" si="198"/>
        <v>0</v>
      </c>
      <c r="DN83" s="66">
        <f t="shared" si="199"/>
        <v>0</v>
      </c>
      <c r="DO83" s="66">
        <f t="shared" si="200"/>
        <v>0</v>
      </c>
      <c r="DP83" s="66">
        <f t="shared" si="201"/>
        <v>0</v>
      </c>
      <c r="DQ83" s="66">
        <f t="shared" si="202"/>
        <v>0</v>
      </c>
      <c r="DR83" s="66">
        <f t="shared" si="203"/>
        <v>0</v>
      </c>
      <c r="DS83" s="66">
        <f t="shared" si="204"/>
        <v>0</v>
      </c>
      <c r="DT83" s="66">
        <f t="shared" si="205"/>
        <v>0</v>
      </c>
      <c r="DU83" s="66">
        <f t="shared" si="206"/>
        <v>0</v>
      </c>
      <c r="DV83" s="66">
        <f t="shared" si="207"/>
        <v>0</v>
      </c>
      <c r="DW83" s="66">
        <f t="shared" si="208"/>
        <v>0</v>
      </c>
      <c r="DX83" s="66">
        <f t="shared" si="209"/>
        <v>0</v>
      </c>
      <c r="DY83" s="66"/>
      <c r="DZ83" s="66">
        <f t="shared" si="210"/>
        <v>10567167</v>
      </c>
      <c r="EB83" s="9">
        <f t="shared" si="155"/>
        <v>50000000</v>
      </c>
      <c r="EC83" s="9">
        <f t="shared" si="156"/>
        <v>50000000</v>
      </c>
      <c r="ED83" s="9">
        <f t="shared" si="157"/>
        <v>50000000</v>
      </c>
    </row>
    <row r="84" spans="1:136" ht="19.8" customHeight="1" x14ac:dyDescent="0.3">
      <c r="A84" s="218"/>
      <c r="B84" s="113"/>
      <c r="C84" s="101" t="s">
        <v>173</v>
      </c>
      <c r="D84" s="71" t="s">
        <v>172</v>
      </c>
      <c r="E84" s="87">
        <v>520</v>
      </c>
      <c r="F84" s="67" t="s">
        <v>127</v>
      </c>
      <c r="G84" s="66">
        <f t="shared" si="163"/>
        <v>15000000</v>
      </c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>
        <v>15000000</v>
      </c>
      <c r="Y84" s="66"/>
      <c r="Z84" s="66"/>
      <c r="AA84" s="66"/>
      <c r="AB84" s="66"/>
      <c r="AC84" s="66"/>
      <c r="AD84" s="66"/>
      <c r="AE84" s="22"/>
      <c r="AF84" s="66">
        <f t="shared" si="164"/>
        <v>0</v>
      </c>
      <c r="AG84" s="66"/>
      <c r="AH84" s="66"/>
      <c r="AI84" s="66"/>
      <c r="AJ84" s="66"/>
      <c r="AK84" s="66"/>
      <c r="AL84" s="66"/>
      <c r="AM84" s="66"/>
      <c r="AN84" s="66"/>
      <c r="AO84" s="66"/>
      <c r="AP84" s="66"/>
      <c r="AQ84" s="66"/>
      <c r="AR84" s="66"/>
      <c r="AS84" s="66"/>
      <c r="AT84" s="66"/>
      <c r="AU84" s="66"/>
      <c r="AV84" s="66"/>
      <c r="AW84" s="66"/>
      <c r="AX84" s="66"/>
      <c r="AY84" s="66"/>
      <c r="AZ84" s="66"/>
      <c r="BA84" s="66"/>
      <c r="BB84" s="66"/>
      <c r="BC84" s="66"/>
      <c r="BD84" s="22">
        <f t="shared" si="152"/>
        <v>1</v>
      </c>
      <c r="BE84" s="66">
        <f t="shared" si="165"/>
        <v>15000000</v>
      </c>
      <c r="BF84" s="66">
        <f t="shared" si="166"/>
        <v>0</v>
      </c>
      <c r="BG84" s="66">
        <f t="shared" si="167"/>
        <v>0</v>
      </c>
      <c r="BH84" s="66">
        <f t="shared" si="168"/>
        <v>0</v>
      </c>
      <c r="BI84" s="66">
        <f t="shared" si="169"/>
        <v>0</v>
      </c>
      <c r="BJ84" s="66">
        <f t="shared" si="170"/>
        <v>0</v>
      </c>
      <c r="BK84" s="66">
        <f t="shared" si="171"/>
        <v>0</v>
      </c>
      <c r="BL84" s="66">
        <f t="shared" si="172"/>
        <v>0</v>
      </c>
      <c r="BM84" s="66">
        <f t="shared" si="173"/>
        <v>0</v>
      </c>
      <c r="BN84" s="66">
        <f t="shared" si="174"/>
        <v>0</v>
      </c>
      <c r="BO84" s="66">
        <f t="shared" si="175"/>
        <v>0</v>
      </c>
      <c r="BP84" s="66">
        <f t="shared" si="176"/>
        <v>0</v>
      </c>
      <c r="BQ84" s="66">
        <f t="shared" si="177"/>
        <v>0</v>
      </c>
      <c r="BR84" s="66">
        <f t="shared" si="178"/>
        <v>0</v>
      </c>
      <c r="BS84" s="66">
        <f t="shared" si="179"/>
        <v>0</v>
      </c>
      <c r="BT84" s="66">
        <f t="shared" si="180"/>
        <v>0</v>
      </c>
      <c r="BU84" s="66">
        <f t="shared" si="181"/>
        <v>0</v>
      </c>
      <c r="BV84" s="66">
        <f t="shared" si="182"/>
        <v>15000000</v>
      </c>
      <c r="BW84" s="66">
        <f t="shared" si="183"/>
        <v>0</v>
      </c>
      <c r="BX84" s="66">
        <f t="shared" si="184"/>
        <v>0</v>
      </c>
      <c r="BY84" s="66">
        <f t="shared" si="185"/>
        <v>0</v>
      </c>
      <c r="BZ84" s="66">
        <f t="shared" si="186"/>
        <v>0</v>
      </c>
      <c r="CA84" s="66"/>
      <c r="CB84" s="66">
        <f t="shared" si="187"/>
        <v>0</v>
      </c>
      <c r="CC84" s="22">
        <f t="shared" si="153"/>
        <v>0</v>
      </c>
      <c r="CD84" s="66">
        <f t="shared" si="188"/>
        <v>0</v>
      </c>
      <c r="CE84" s="66"/>
      <c r="CF84" s="66"/>
      <c r="CG84" s="66"/>
      <c r="CH84" s="66"/>
      <c r="CI84" s="66"/>
      <c r="CJ84" s="66"/>
      <c r="CK84" s="66"/>
      <c r="CL84" s="66"/>
      <c r="CM84" s="66"/>
      <c r="CN84" s="66"/>
      <c r="CO84" s="66"/>
      <c r="CP84" s="66"/>
      <c r="CQ84" s="66"/>
      <c r="CR84" s="66"/>
      <c r="CS84" s="66"/>
      <c r="CT84" s="66"/>
      <c r="CU84" s="66"/>
      <c r="CV84" s="66"/>
      <c r="CW84" s="66"/>
      <c r="CX84" s="66"/>
      <c r="CY84" s="66"/>
      <c r="CZ84" s="66"/>
      <c r="DA84" s="66"/>
      <c r="DB84" s="22">
        <f t="shared" si="154"/>
        <v>1</v>
      </c>
      <c r="DC84" s="66">
        <f t="shared" si="189"/>
        <v>15000000</v>
      </c>
      <c r="DD84" s="66">
        <f t="shared" si="190"/>
        <v>0</v>
      </c>
      <c r="DE84" s="66">
        <f t="shared" si="191"/>
        <v>0</v>
      </c>
      <c r="DF84" s="66"/>
      <c r="DG84" s="66">
        <f t="shared" si="192"/>
        <v>0</v>
      </c>
      <c r="DH84" s="66">
        <f t="shared" si="193"/>
        <v>0</v>
      </c>
      <c r="DI84" s="66">
        <f t="shared" si="194"/>
        <v>0</v>
      </c>
      <c r="DJ84" s="66">
        <f t="shared" si="195"/>
        <v>0</v>
      </c>
      <c r="DK84" s="66">
        <f t="shared" si="196"/>
        <v>0</v>
      </c>
      <c r="DL84" s="66">
        <f t="shared" si="197"/>
        <v>0</v>
      </c>
      <c r="DM84" s="66">
        <f t="shared" si="198"/>
        <v>0</v>
      </c>
      <c r="DN84" s="66">
        <f t="shared" si="199"/>
        <v>0</v>
      </c>
      <c r="DO84" s="66">
        <f t="shared" si="200"/>
        <v>0</v>
      </c>
      <c r="DP84" s="66">
        <f t="shared" si="201"/>
        <v>0</v>
      </c>
      <c r="DQ84" s="66">
        <f t="shared" si="202"/>
        <v>0</v>
      </c>
      <c r="DR84" s="66">
        <f t="shared" si="203"/>
        <v>0</v>
      </c>
      <c r="DS84" s="66">
        <f t="shared" si="204"/>
        <v>0</v>
      </c>
      <c r="DT84" s="66">
        <f t="shared" si="205"/>
        <v>15000000</v>
      </c>
      <c r="DU84" s="66">
        <f t="shared" si="206"/>
        <v>0</v>
      </c>
      <c r="DV84" s="66">
        <f t="shared" si="207"/>
        <v>0</v>
      </c>
      <c r="DW84" s="66">
        <f t="shared" si="208"/>
        <v>0</v>
      </c>
      <c r="DX84" s="66">
        <f t="shared" si="209"/>
        <v>0</v>
      </c>
      <c r="DY84" s="66"/>
      <c r="DZ84" s="66">
        <f t="shared" si="210"/>
        <v>0</v>
      </c>
      <c r="EB84" s="9">
        <f t="shared" si="155"/>
        <v>15000000</v>
      </c>
      <c r="EC84" s="9">
        <f t="shared" si="156"/>
        <v>15000000</v>
      </c>
      <c r="ED84" s="9">
        <f t="shared" si="157"/>
        <v>15000000</v>
      </c>
    </row>
    <row r="85" spans="1:136" ht="47.25" customHeight="1" x14ac:dyDescent="0.3">
      <c r="A85" s="218"/>
      <c r="B85" s="113"/>
      <c r="C85" s="101" t="s">
        <v>171</v>
      </c>
      <c r="D85" s="71" t="s">
        <v>170</v>
      </c>
      <c r="E85" s="87">
        <v>520</v>
      </c>
      <c r="F85" s="67" t="s">
        <v>127</v>
      </c>
      <c r="G85" s="66">
        <f t="shared" si="163"/>
        <v>15000000</v>
      </c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>
        <v>15000000</v>
      </c>
      <c r="Y85" s="66"/>
      <c r="Z85" s="66"/>
      <c r="AA85" s="66"/>
      <c r="AB85" s="66"/>
      <c r="AC85" s="66"/>
      <c r="AD85" s="66"/>
      <c r="AE85" s="22"/>
      <c r="AF85" s="66">
        <f t="shared" si="164"/>
        <v>0</v>
      </c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66"/>
      <c r="AR85" s="66"/>
      <c r="AS85" s="66"/>
      <c r="AT85" s="66"/>
      <c r="AU85" s="66"/>
      <c r="AV85" s="66"/>
      <c r="AW85" s="66"/>
      <c r="AX85" s="66"/>
      <c r="AY85" s="66"/>
      <c r="AZ85" s="66"/>
      <c r="BA85" s="66"/>
      <c r="BB85" s="66"/>
      <c r="BC85" s="66"/>
      <c r="BD85" s="22">
        <f t="shared" si="152"/>
        <v>1</v>
      </c>
      <c r="BE85" s="66">
        <f t="shared" si="165"/>
        <v>15000000</v>
      </c>
      <c r="BF85" s="66">
        <f t="shared" si="166"/>
        <v>0</v>
      </c>
      <c r="BG85" s="66">
        <f t="shared" si="167"/>
        <v>0</v>
      </c>
      <c r="BH85" s="66">
        <f t="shared" si="168"/>
        <v>0</v>
      </c>
      <c r="BI85" s="66">
        <f t="shared" si="169"/>
        <v>0</v>
      </c>
      <c r="BJ85" s="66">
        <f t="shared" si="170"/>
        <v>0</v>
      </c>
      <c r="BK85" s="66">
        <f t="shared" si="171"/>
        <v>0</v>
      </c>
      <c r="BL85" s="66">
        <f t="shared" si="172"/>
        <v>0</v>
      </c>
      <c r="BM85" s="66">
        <f t="shared" si="173"/>
        <v>0</v>
      </c>
      <c r="BN85" s="66">
        <f t="shared" si="174"/>
        <v>0</v>
      </c>
      <c r="BO85" s="66">
        <f t="shared" si="175"/>
        <v>0</v>
      </c>
      <c r="BP85" s="66">
        <f t="shared" si="176"/>
        <v>0</v>
      </c>
      <c r="BQ85" s="66">
        <f t="shared" si="177"/>
        <v>0</v>
      </c>
      <c r="BR85" s="66">
        <f t="shared" si="178"/>
        <v>0</v>
      </c>
      <c r="BS85" s="66">
        <f t="shared" si="179"/>
        <v>0</v>
      </c>
      <c r="BT85" s="66">
        <f t="shared" si="180"/>
        <v>0</v>
      </c>
      <c r="BU85" s="66">
        <f t="shared" si="181"/>
        <v>0</v>
      </c>
      <c r="BV85" s="66">
        <f t="shared" si="182"/>
        <v>15000000</v>
      </c>
      <c r="BW85" s="66">
        <f t="shared" si="183"/>
        <v>0</v>
      </c>
      <c r="BX85" s="66">
        <f t="shared" si="184"/>
        <v>0</v>
      </c>
      <c r="BY85" s="66">
        <f t="shared" si="185"/>
        <v>0</v>
      </c>
      <c r="BZ85" s="66">
        <f t="shared" si="186"/>
        <v>0</v>
      </c>
      <c r="CA85" s="66"/>
      <c r="CB85" s="66">
        <f t="shared" si="187"/>
        <v>0</v>
      </c>
      <c r="CC85" s="22">
        <f t="shared" si="153"/>
        <v>0</v>
      </c>
      <c r="CD85" s="66">
        <f t="shared" si="188"/>
        <v>0</v>
      </c>
      <c r="CE85" s="66"/>
      <c r="CF85" s="66"/>
      <c r="CG85" s="66"/>
      <c r="CH85" s="66"/>
      <c r="CI85" s="66"/>
      <c r="CJ85" s="66"/>
      <c r="CK85" s="66"/>
      <c r="CL85" s="66"/>
      <c r="CM85" s="66"/>
      <c r="CN85" s="66"/>
      <c r="CO85" s="66"/>
      <c r="CP85" s="66"/>
      <c r="CQ85" s="66"/>
      <c r="CR85" s="66"/>
      <c r="CS85" s="66"/>
      <c r="CT85" s="66"/>
      <c r="CU85" s="66"/>
      <c r="CV85" s="66"/>
      <c r="CW85" s="66"/>
      <c r="CX85" s="66"/>
      <c r="CY85" s="66"/>
      <c r="CZ85" s="66"/>
      <c r="DA85" s="66"/>
      <c r="DB85" s="22">
        <f t="shared" si="154"/>
        <v>1</v>
      </c>
      <c r="DC85" s="66">
        <f t="shared" si="189"/>
        <v>15000000</v>
      </c>
      <c r="DD85" s="66">
        <f t="shared" si="190"/>
        <v>0</v>
      </c>
      <c r="DE85" s="66">
        <f t="shared" si="191"/>
        <v>0</v>
      </c>
      <c r="DF85" s="66"/>
      <c r="DG85" s="66">
        <f t="shared" si="192"/>
        <v>0</v>
      </c>
      <c r="DH85" s="66">
        <f t="shared" si="193"/>
        <v>0</v>
      </c>
      <c r="DI85" s="66">
        <f t="shared" si="194"/>
        <v>0</v>
      </c>
      <c r="DJ85" s="66">
        <f t="shared" si="195"/>
        <v>0</v>
      </c>
      <c r="DK85" s="66">
        <f t="shared" si="196"/>
        <v>0</v>
      </c>
      <c r="DL85" s="66">
        <f t="shared" si="197"/>
        <v>0</v>
      </c>
      <c r="DM85" s="66">
        <f t="shared" si="198"/>
        <v>0</v>
      </c>
      <c r="DN85" s="66">
        <f t="shared" si="199"/>
        <v>0</v>
      </c>
      <c r="DO85" s="66">
        <f t="shared" si="200"/>
        <v>0</v>
      </c>
      <c r="DP85" s="66">
        <f t="shared" si="201"/>
        <v>0</v>
      </c>
      <c r="DQ85" s="66">
        <f t="shared" si="202"/>
        <v>0</v>
      </c>
      <c r="DR85" s="66">
        <f t="shared" si="203"/>
        <v>0</v>
      </c>
      <c r="DS85" s="66">
        <f t="shared" si="204"/>
        <v>0</v>
      </c>
      <c r="DT85" s="66">
        <f t="shared" si="205"/>
        <v>15000000</v>
      </c>
      <c r="DU85" s="66">
        <f t="shared" si="206"/>
        <v>0</v>
      </c>
      <c r="DV85" s="66">
        <f t="shared" si="207"/>
        <v>0</v>
      </c>
      <c r="DW85" s="66">
        <f t="shared" si="208"/>
        <v>0</v>
      </c>
      <c r="DX85" s="66">
        <f t="shared" si="209"/>
        <v>0</v>
      </c>
      <c r="DY85" s="66"/>
      <c r="DZ85" s="66">
        <f t="shared" si="210"/>
        <v>0</v>
      </c>
      <c r="EB85" s="9">
        <f t="shared" si="155"/>
        <v>15000000</v>
      </c>
      <c r="EC85" s="9">
        <f t="shared" si="156"/>
        <v>15000000</v>
      </c>
      <c r="ED85" s="9">
        <f t="shared" si="157"/>
        <v>15000000</v>
      </c>
    </row>
    <row r="86" spans="1:136" ht="31.2" customHeight="1" x14ac:dyDescent="0.3">
      <c r="A86" s="218"/>
      <c r="B86" s="112" t="s">
        <v>169</v>
      </c>
      <c r="C86" s="101" t="s">
        <v>168</v>
      </c>
      <c r="D86" s="71" t="s">
        <v>167</v>
      </c>
      <c r="E86" s="87">
        <v>520</v>
      </c>
      <c r="F86" s="67" t="s">
        <v>127</v>
      </c>
      <c r="G86" s="66">
        <f t="shared" si="163"/>
        <v>100000000</v>
      </c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>
        <v>60000000</v>
      </c>
      <c r="Y86" s="66"/>
      <c r="Z86" s="66">
        <v>40000000</v>
      </c>
      <c r="AA86" s="66"/>
      <c r="AB86" s="66"/>
      <c r="AC86" s="66"/>
      <c r="AD86" s="66"/>
      <c r="AE86" s="22">
        <f t="shared" ref="AE86:AE117" si="211">+AF86/G86</f>
        <v>0.99890199999999996</v>
      </c>
      <c r="AF86" s="66">
        <f t="shared" si="164"/>
        <v>99890200</v>
      </c>
      <c r="AG86" s="66"/>
      <c r="AH86" s="66"/>
      <c r="AI86" s="66"/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  <c r="AU86" s="66"/>
      <c r="AV86" s="66"/>
      <c r="AW86" s="66">
        <f>+'[1]OCTUBRE 2019'!$H$4350-AY86</f>
        <v>60000000</v>
      </c>
      <c r="AX86" s="66"/>
      <c r="AY86" s="66">
        <f>+'[1]OCTUBRE 2019'!$H$4402+'[1]OCTUBRE 2019'!$H$4421</f>
        <v>39890200</v>
      </c>
      <c r="AZ86" s="66"/>
      <c r="BA86" s="66"/>
      <c r="BB86" s="66"/>
      <c r="BC86" s="66"/>
      <c r="BD86" s="22">
        <f t="shared" si="152"/>
        <v>1.0980000000000434E-3</v>
      </c>
      <c r="BE86" s="66">
        <f t="shared" si="165"/>
        <v>109800</v>
      </c>
      <c r="BF86" s="66">
        <f t="shared" si="166"/>
        <v>0</v>
      </c>
      <c r="BG86" s="66">
        <f t="shared" si="167"/>
        <v>0</v>
      </c>
      <c r="BH86" s="66">
        <f t="shared" si="168"/>
        <v>0</v>
      </c>
      <c r="BI86" s="66">
        <f t="shared" si="169"/>
        <v>0</v>
      </c>
      <c r="BJ86" s="66">
        <f t="shared" si="170"/>
        <v>0</v>
      </c>
      <c r="BK86" s="66">
        <f t="shared" si="171"/>
        <v>0</v>
      </c>
      <c r="BL86" s="66">
        <f t="shared" si="172"/>
        <v>0</v>
      </c>
      <c r="BM86" s="66">
        <f t="shared" si="173"/>
        <v>0</v>
      </c>
      <c r="BN86" s="66">
        <f t="shared" si="174"/>
        <v>0</v>
      </c>
      <c r="BO86" s="66">
        <f t="shared" si="175"/>
        <v>0</v>
      </c>
      <c r="BP86" s="66">
        <f t="shared" si="176"/>
        <v>0</v>
      </c>
      <c r="BQ86" s="66">
        <f t="shared" si="177"/>
        <v>0</v>
      </c>
      <c r="BR86" s="66">
        <f t="shared" si="178"/>
        <v>0</v>
      </c>
      <c r="BS86" s="66">
        <f t="shared" si="179"/>
        <v>0</v>
      </c>
      <c r="BT86" s="66">
        <f t="shared" si="180"/>
        <v>0</v>
      </c>
      <c r="BU86" s="66">
        <f t="shared" si="181"/>
        <v>0</v>
      </c>
      <c r="BV86" s="66">
        <f t="shared" si="182"/>
        <v>0</v>
      </c>
      <c r="BW86" s="66">
        <f t="shared" si="183"/>
        <v>0</v>
      </c>
      <c r="BX86" s="66">
        <f t="shared" si="184"/>
        <v>109800</v>
      </c>
      <c r="BY86" s="66">
        <f t="shared" si="185"/>
        <v>0</v>
      </c>
      <c r="BZ86" s="66">
        <f t="shared" si="186"/>
        <v>0</v>
      </c>
      <c r="CA86" s="66"/>
      <c r="CB86" s="66">
        <f t="shared" si="187"/>
        <v>0</v>
      </c>
      <c r="CC86" s="22">
        <f t="shared" si="153"/>
        <v>0.99890199999999996</v>
      </c>
      <c r="CD86" s="66">
        <f t="shared" si="188"/>
        <v>99890200</v>
      </c>
      <c r="CE86" s="66"/>
      <c r="CF86" s="66"/>
      <c r="CG86" s="66"/>
      <c r="CH86" s="66"/>
      <c r="CI86" s="66"/>
      <c r="CJ86" s="66"/>
      <c r="CK86" s="66"/>
      <c r="CL86" s="66"/>
      <c r="CM86" s="66"/>
      <c r="CN86" s="66"/>
      <c r="CO86" s="66"/>
      <c r="CP86" s="66"/>
      <c r="CQ86" s="66"/>
      <c r="CR86" s="66"/>
      <c r="CS86" s="66"/>
      <c r="CT86" s="66"/>
      <c r="CU86" s="66">
        <f>+'[1]OCTUBRE 2019'!$H$4350-CW86</f>
        <v>60000000</v>
      </c>
      <c r="CV86" s="66"/>
      <c r="CW86" s="66">
        <f>+'[1]OCTUBRE 2019'!$H$4402+'[1]OCTUBRE 2019'!$H$4421</f>
        <v>39890200</v>
      </c>
      <c r="CX86" s="66"/>
      <c r="CY86" s="66"/>
      <c r="CZ86" s="66"/>
      <c r="DA86" s="66"/>
      <c r="DB86" s="22">
        <f t="shared" si="154"/>
        <v>1.0980000000000434E-3</v>
      </c>
      <c r="DC86" s="66">
        <f t="shared" si="189"/>
        <v>109800</v>
      </c>
      <c r="DD86" s="66">
        <f t="shared" si="190"/>
        <v>0</v>
      </c>
      <c r="DE86" s="66">
        <f t="shared" si="191"/>
        <v>0</v>
      </c>
      <c r="DF86" s="66"/>
      <c r="DG86" s="66">
        <f t="shared" si="192"/>
        <v>0</v>
      </c>
      <c r="DH86" s="66">
        <f t="shared" si="193"/>
        <v>0</v>
      </c>
      <c r="DI86" s="66">
        <f t="shared" si="194"/>
        <v>0</v>
      </c>
      <c r="DJ86" s="66">
        <f t="shared" si="195"/>
        <v>0</v>
      </c>
      <c r="DK86" s="66">
        <f t="shared" si="196"/>
        <v>0</v>
      </c>
      <c r="DL86" s="66">
        <f t="shared" si="197"/>
        <v>0</v>
      </c>
      <c r="DM86" s="66">
        <f t="shared" si="198"/>
        <v>0</v>
      </c>
      <c r="DN86" s="66">
        <f t="shared" si="199"/>
        <v>0</v>
      </c>
      <c r="DO86" s="66">
        <f t="shared" si="200"/>
        <v>0</v>
      </c>
      <c r="DP86" s="66">
        <f t="shared" si="201"/>
        <v>0</v>
      </c>
      <c r="DQ86" s="66">
        <f t="shared" si="202"/>
        <v>0</v>
      </c>
      <c r="DR86" s="66">
        <f t="shared" si="203"/>
        <v>0</v>
      </c>
      <c r="DS86" s="66">
        <f t="shared" si="204"/>
        <v>0</v>
      </c>
      <c r="DT86" s="66">
        <f t="shared" si="205"/>
        <v>0</v>
      </c>
      <c r="DU86" s="66">
        <f t="shared" si="206"/>
        <v>0</v>
      </c>
      <c r="DV86" s="66">
        <f t="shared" si="207"/>
        <v>109800</v>
      </c>
      <c r="DW86" s="66">
        <f t="shared" si="208"/>
        <v>0</v>
      </c>
      <c r="DX86" s="66">
        <f t="shared" si="209"/>
        <v>0</v>
      </c>
      <c r="DY86" s="66"/>
      <c r="DZ86" s="66">
        <f t="shared" si="210"/>
        <v>0</v>
      </c>
      <c r="EB86" s="9">
        <f t="shared" si="155"/>
        <v>100000000</v>
      </c>
      <c r="EC86" s="9">
        <f t="shared" si="156"/>
        <v>100000000</v>
      </c>
      <c r="ED86" s="9">
        <f t="shared" si="157"/>
        <v>100000000</v>
      </c>
    </row>
    <row r="87" spans="1:136" ht="44.4" customHeight="1" x14ac:dyDescent="0.3">
      <c r="A87" s="218"/>
      <c r="B87" s="209" t="s">
        <v>166</v>
      </c>
      <c r="C87" s="101" t="s">
        <v>165</v>
      </c>
      <c r="D87" s="71" t="s">
        <v>164</v>
      </c>
      <c r="E87" s="87">
        <v>520</v>
      </c>
      <c r="F87" s="67" t="s">
        <v>127</v>
      </c>
      <c r="G87" s="66">
        <f t="shared" si="163"/>
        <v>150000000</v>
      </c>
      <c r="H87" s="35"/>
      <c r="I87" s="66"/>
      <c r="J87" s="66"/>
      <c r="K87" s="66"/>
      <c r="L87" s="35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>
        <v>150000000</v>
      </c>
      <c r="Y87" s="66"/>
      <c r="Z87" s="66"/>
      <c r="AA87" s="66"/>
      <c r="AB87" s="66"/>
      <c r="AC87" s="66"/>
      <c r="AD87" s="66"/>
      <c r="AE87" s="22">
        <f t="shared" si="211"/>
        <v>0.8827736266666667</v>
      </c>
      <c r="AF87" s="66">
        <f t="shared" si="164"/>
        <v>132416044</v>
      </c>
      <c r="AG87" s="66"/>
      <c r="AH87" s="66"/>
      <c r="AI87" s="66"/>
      <c r="AJ87" s="66"/>
      <c r="AK87" s="66"/>
      <c r="AL87" s="66"/>
      <c r="AM87" s="66"/>
      <c r="AN87" s="66"/>
      <c r="AO87" s="66"/>
      <c r="AP87" s="66"/>
      <c r="AQ87" s="66"/>
      <c r="AR87" s="66"/>
      <c r="AS87" s="66"/>
      <c r="AT87" s="66"/>
      <c r="AU87" s="66"/>
      <c r="AV87" s="66"/>
      <c r="AW87" s="66">
        <f>+'[1]OCTUBRE 2019'!$Z$4431</f>
        <v>132416044</v>
      </c>
      <c r="AX87" s="66"/>
      <c r="AY87" s="66"/>
      <c r="AZ87" s="66"/>
      <c r="BA87" s="66"/>
      <c r="BB87" s="66"/>
      <c r="BC87" s="66"/>
      <c r="BD87" s="22">
        <f t="shared" si="152"/>
        <v>0.1172263733333333</v>
      </c>
      <c r="BE87" s="66">
        <f t="shared" si="165"/>
        <v>17583956</v>
      </c>
      <c r="BF87" s="66">
        <f t="shared" si="166"/>
        <v>0</v>
      </c>
      <c r="BG87" s="66">
        <f t="shared" si="167"/>
        <v>0</v>
      </c>
      <c r="BH87" s="66">
        <f t="shared" si="168"/>
        <v>0</v>
      </c>
      <c r="BI87" s="66">
        <f t="shared" si="169"/>
        <v>0</v>
      </c>
      <c r="BJ87" s="66">
        <f t="shared" si="170"/>
        <v>0</v>
      </c>
      <c r="BK87" s="66">
        <f t="shared" si="171"/>
        <v>0</v>
      </c>
      <c r="BL87" s="66">
        <f t="shared" si="172"/>
        <v>0</v>
      </c>
      <c r="BM87" s="66">
        <f t="shared" si="173"/>
        <v>0</v>
      </c>
      <c r="BN87" s="66">
        <f t="shared" si="174"/>
        <v>0</v>
      </c>
      <c r="BO87" s="66">
        <f t="shared" si="175"/>
        <v>0</v>
      </c>
      <c r="BP87" s="66">
        <f t="shared" si="176"/>
        <v>0</v>
      </c>
      <c r="BQ87" s="66">
        <f t="shared" si="177"/>
        <v>0</v>
      </c>
      <c r="BR87" s="66">
        <f t="shared" si="178"/>
        <v>0</v>
      </c>
      <c r="BS87" s="66">
        <f t="shared" si="179"/>
        <v>0</v>
      </c>
      <c r="BT87" s="66">
        <f t="shared" si="180"/>
        <v>0</v>
      </c>
      <c r="BU87" s="66">
        <f t="shared" si="181"/>
        <v>0</v>
      </c>
      <c r="BV87" s="66">
        <f t="shared" si="182"/>
        <v>17583956</v>
      </c>
      <c r="BW87" s="66">
        <f t="shared" si="183"/>
        <v>0</v>
      </c>
      <c r="BX87" s="66">
        <f t="shared" si="184"/>
        <v>0</v>
      </c>
      <c r="BY87" s="66">
        <f t="shared" si="185"/>
        <v>0</v>
      </c>
      <c r="BZ87" s="66">
        <f t="shared" si="186"/>
        <v>0</v>
      </c>
      <c r="CA87" s="66"/>
      <c r="CB87" s="66">
        <f t="shared" si="187"/>
        <v>0</v>
      </c>
      <c r="CC87" s="22">
        <f t="shared" si="153"/>
        <v>0.77610539999999995</v>
      </c>
      <c r="CD87" s="66">
        <f t="shared" si="188"/>
        <v>116415810</v>
      </c>
      <c r="CE87" s="66"/>
      <c r="CF87" s="66"/>
      <c r="CG87" s="66"/>
      <c r="CH87" s="66"/>
      <c r="CI87" s="66"/>
      <c r="CJ87" s="66"/>
      <c r="CK87" s="66"/>
      <c r="CL87" s="66"/>
      <c r="CM87" s="66"/>
      <c r="CN87" s="66"/>
      <c r="CO87" s="66"/>
      <c r="CP87" s="66"/>
      <c r="CQ87" s="66"/>
      <c r="CR87" s="66"/>
      <c r="CS87" s="66"/>
      <c r="CT87" s="66"/>
      <c r="CU87" s="66">
        <f>+'[1]OCTUBRE 2019'!$H$4429</f>
        <v>116415810</v>
      </c>
      <c r="CV87" s="66"/>
      <c r="CW87" s="66"/>
      <c r="CX87" s="66"/>
      <c r="CY87" s="66"/>
      <c r="CZ87" s="66"/>
      <c r="DA87" s="66"/>
      <c r="DB87" s="22">
        <f t="shared" si="154"/>
        <v>0.22389460000000005</v>
      </c>
      <c r="DC87" s="66">
        <f t="shared" si="189"/>
        <v>33584190</v>
      </c>
      <c r="DD87" s="66">
        <f t="shared" si="190"/>
        <v>0</v>
      </c>
      <c r="DE87" s="66">
        <f t="shared" si="191"/>
        <v>0</v>
      </c>
      <c r="DF87" s="66"/>
      <c r="DG87" s="66">
        <f t="shared" si="192"/>
        <v>0</v>
      </c>
      <c r="DH87" s="66">
        <f t="shared" si="193"/>
        <v>0</v>
      </c>
      <c r="DI87" s="66">
        <f t="shared" si="194"/>
        <v>0</v>
      </c>
      <c r="DJ87" s="66">
        <f t="shared" si="195"/>
        <v>0</v>
      </c>
      <c r="DK87" s="66">
        <f t="shared" si="196"/>
        <v>0</v>
      </c>
      <c r="DL87" s="66">
        <f t="shared" si="197"/>
        <v>0</v>
      </c>
      <c r="DM87" s="66">
        <f t="shared" si="198"/>
        <v>0</v>
      </c>
      <c r="DN87" s="66">
        <f t="shared" si="199"/>
        <v>0</v>
      </c>
      <c r="DO87" s="66">
        <f t="shared" si="200"/>
        <v>0</v>
      </c>
      <c r="DP87" s="66">
        <f t="shared" si="201"/>
        <v>0</v>
      </c>
      <c r="DQ87" s="66">
        <f t="shared" si="202"/>
        <v>0</v>
      </c>
      <c r="DR87" s="66">
        <f t="shared" si="203"/>
        <v>0</v>
      </c>
      <c r="DS87" s="66">
        <f t="shared" si="204"/>
        <v>0</v>
      </c>
      <c r="DT87" s="66">
        <f t="shared" si="205"/>
        <v>33584190</v>
      </c>
      <c r="DU87" s="66">
        <f t="shared" si="206"/>
        <v>0</v>
      </c>
      <c r="DV87" s="66">
        <f t="shared" si="207"/>
        <v>0</v>
      </c>
      <c r="DW87" s="66">
        <f t="shared" si="208"/>
        <v>0</v>
      </c>
      <c r="DX87" s="66">
        <f t="shared" si="209"/>
        <v>0</v>
      </c>
      <c r="DY87" s="66"/>
      <c r="DZ87" s="66">
        <f t="shared" si="210"/>
        <v>0</v>
      </c>
      <c r="EB87" s="9">
        <f t="shared" si="155"/>
        <v>150000000</v>
      </c>
      <c r="EC87" s="9">
        <f t="shared" si="156"/>
        <v>150000000</v>
      </c>
      <c r="ED87" s="9">
        <f t="shared" si="157"/>
        <v>150000000</v>
      </c>
    </row>
    <row r="88" spans="1:136" ht="30" customHeight="1" x14ac:dyDescent="0.3">
      <c r="A88" s="218"/>
      <c r="B88" s="210"/>
      <c r="C88" s="101" t="s">
        <v>163</v>
      </c>
      <c r="D88" s="71" t="s">
        <v>162</v>
      </c>
      <c r="E88" s="87">
        <v>520</v>
      </c>
      <c r="F88" s="67" t="s">
        <v>161</v>
      </c>
      <c r="G88" s="66">
        <f t="shared" si="163"/>
        <v>2125618253</v>
      </c>
      <c r="H88" s="99"/>
      <c r="I88" s="35"/>
      <c r="J88" s="35"/>
      <c r="K88" s="35"/>
      <c r="L88" s="35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>
        <f>2000000000+115618253</f>
        <v>2115618253</v>
      </c>
      <c r="X88" s="66"/>
      <c r="Y88" s="66"/>
      <c r="Z88" s="66"/>
      <c r="AA88" s="66"/>
      <c r="AB88" s="66"/>
      <c r="AC88" s="66"/>
      <c r="AD88" s="66">
        <f>10000000</f>
        <v>10000000</v>
      </c>
      <c r="AE88" s="22">
        <f t="shared" si="211"/>
        <v>0.54343330387274391</v>
      </c>
      <c r="AF88" s="66">
        <f t="shared" si="164"/>
        <v>1155131750</v>
      </c>
      <c r="AG88" s="66"/>
      <c r="AH88" s="66"/>
      <c r="AI88" s="66"/>
      <c r="AJ88" s="66"/>
      <c r="AK88" s="66"/>
      <c r="AL88" s="66"/>
      <c r="AM88" s="66"/>
      <c r="AN88" s="66"/>
      <c r="AO88" s="66"/>
      <c r="AP88" s="66"/>
      <c r="AQ88" s="66"/>
      <c r="AR88" s="66"/>
      <c r="AS88" s="66"/>
      <c r="AT88" s="66"/>
      <c r="AU88" s="66"/>
      <c r="AV88" s="66">
        <f>+'[1]OCTUBRE 2019'!$Y$4493</f>
        <v>1147808427</v>
      </c>
      <c r="AW88" s="66"/>
      <c r="AX88" s="66"/>
      <c r="AY88" s="66"/>
      <c r="AZ88" s="66"/>
      <c r="BA88" s="66"/>
      <c r="BB88" s="66"/>
      <c r="BC88" s="66">
        <f>+'[3]JULIO 2019'!$AF$3060</f>
        <v>7323323</v>
      </c>
      <c r="BD88" s="22">
        <f t="shared" si="152"/>
        <v>0.45656669612725609</v>
      </c>
      <c r="BE88" s="66">
        <f t="shared" si="165"/>
        <v>970486503</v>
      </c>
      <c r="BF88" s="66">
        <f t="shared" si="166"/>
        <v>0</v>
      </c>
      <c r="BG88" s="66">
        <f t="shared" si="167"/>
        <v>0</v>
      </c>
      <c r="BH88" s="66">
        <f t="shared" si="168"/>
        <v>0</v>
      </c>
      <c r="BI88" s="66">
        <f t="shared" si="169"/>
        <v>0</v>
      </c>
      <c r="BJ88" s="66">
        <f t="shared" si="170"/>
        <v>0</v>
      </c>
      <c r="BK88" s="66">
        <f t="shared" si="171"/>
        <v>0</v>
      </c>
      <c r="BL88" s="66">
        <f t="shared" si="172"/>
        <v>0</v>
      </c>
      <c r="BM88" s="66">
        <f t="shared" si="173"/>
        <v>0</v>
      </c>
      <c r="BN88" s="66">
        <f t="shared" si="174"/>
        <v>0</v>
      </c>
      <c r="BO88" s="66">
        <f t="shared" si="175"/>
        <v>0</v>
      </c>
      <c r="BP88" s="66">
        <f t="shared" si="176"/>
        <v>0</v>
      </c>
      <c r="BQ88" s="66">
        <f t="shared" si="177"/>
        <v>0</v>
      </c>
      <c r="BR88" s="66">
        <f t="shared" si="178"/>
        <v>0</v>
      </c>
      <c r="BS88" s="66">
        <f t="shared" si="179"/>
        <v>0</v>
      </c>
      <c r="BT88" s="66">
        <f t="shared" si="180"/>
        <v>0</v>
      </c>
      <c r="BU88" s="66">
        <f t="shared" si="181"/>
        <v>967809826</v>
      </c>
      <c r="BV88" s="66">
        <f t="shared" si="182"/>
        <v>0</v>
      </c>
      <c r="BW88" s="66">
        <f t="shared" si="183"/>
        <v>0</v>
      </c>
      <c r="BX88" s="66">
        <f t="shared" si="184"/>
        <v>0</v>
      </c>
      <c r="BY88" s="66">
        <f t="shared" si="185"/>
        <v>0</v>
      </c>
      <c r="BZ88" s="66">
        <f t="shared" si="186"/>
        <v>0</v>
      </c>
      <c r="CA88" s="66"/>
      <c r="CB88" s="66">
        <f t="shared" si="187"/>
        <v>2676677</v>
      </c>
      <c r="CC88" s="22">
        <f t="shared" si="153"/>
        <v>0.4377433778086775</v>
      </c>
      <c r="CD88" s="66">
        <f t="shared" si="188"/>
        <v>930475314</v>
      </c>
      <c r="CE88" s="66"/>
      <c r="CF88" s="66"/>
      <c r="CG88" s="66"/>
      <c r="CH88" s="66"/>
      <c r="CI88" s="66"/>
      <c r="CJ88" s="66"/>
      <c r="CK88" s="66"/>
      <c r="CL88" s="66"/>
      <c r="CM88" s="66"/>
      <c r="CN88" s="66"/>
      <c r="CO88" s="66"/>
      <c r="CP88" s="66"/>
      <c r="CQ88" s="66"/>
      <c r="CR88" s="66"/>
      <c r="CS88" s="66"/>
      <c r="CT88" s="66">
        <f>+'[1]OCTUBRE 2019'!$H$4491-DA88</f>
        <v>925151991</v>
      </c>
      <c r="CU88" s="66"/>
      <c r="CV88" s="66"/>
      <c r="CW88" s="66"/>
      <c r="CX88" s="66"/>
      <c r="CY88" s="66"/>
      <c r="CZ88" s="66"/>
      <c r="DA88" s="66">
        <f>+'[1]OCTUBRE 2019'!$H$4498+'[1]OCTUBRE 2019'!$H$4499+'[1]OCTUBRE 2019'!$H$4563+'[1]OCTUBRE 2019'!$H$4565+'[1]OCTUBRE 2019'!$H$4566+'[1]OCTUBRE 2019'!$H$4567+'[1]OCTUBRE 2019'!$H$4581+'[1]OCTUBRE 2019'!$H$4582+'[1]OCTUBRE 2019'!$H$4592+'[1]OCTUBRE 2019'!$H$4593+'[1]OCTUBRE 2019'!$H$4595+'[1]OCTUBRE 2019'!$H$4596</f>
        <v>5323323</v>
      </c>
      <c r="DB88" s="22">
        <f t="shared" si="154"/>
        <v>0.56225662219132255</v>
      </c>
      <c r="DC88" s="66">
        <f t="shared" si="189"/>
        <v>1195142939</v>
      </c>
      <c r="DD88" s="66">
        <f t="shared" si="190"/>
        <v>0</v>
      </c>
      <c r="DE88" s="66">
        <f t="shared" si="191"/>
        <v>0</v>
      </c>
      <c r="DF88" s="66"/>
      <c r="DG88" s="66">
        <f t="shared" si="192"/>
        <v>0</v>
      </c>
      <c r="DH88" s="66">
        <f t="shared" si="193"/>
        <v>0</v>
      </c>
      <c r="DI88" s="66">
        <f t="shared" si="194"/>
        <v>0</v>
      </c>
      <c r="DJ88" s="66">
        <f t="shared" si="195"/>
        <v>0</v>
      </c>
      <c r="DK88" s="66">
        <f t="shared" si="196"/>
        <v>0</v>
      </c>
      <c r="DL88" s="66">
        <f t="shared" si="197"/>
        <v>0</v>
      </c>
      <c r="DM88" s="66">
        <f t="shared" si="198"/>
        <v>0</v>
      </c>
      <c r="DN88" s="66">
        <f t="shared" si="199"/>
        <v>0</v>
      </c>
      <c r="DO88" s="66">
        <f t="shared" si="200"/>
        <v>0</v>
      </c>
      <c r="DP88" s="66">
        <f t="shared" si="201"/>
        <v>0</v>
      </c>
      <c r="DQ88" s="66">
        <f t="shared" si="202"/>
        <v>0</v>
      </c>
      <c r="DR88" s="66">
        <f t="shared" si="203"/>
        <v>0</v>
      </c>
      <c r="DS88" s="66">
        <f t="shared" si="204"/>
        <v>1190466262</v>
      </c>
      <c r="DT88" s="66">
        <f t="shared" si="205"/>
        <v>0</v>
      </c>
      <c r="DU88" s="66">
        <f t="shared" si="206"/>
        <v>0</v>
      </c>
      <c r="DV88" s="66">
        <f t="shared" si="207"/>
        <v>0</v>
      </c>
      <c r="DW88" s="66">
        <f t="shared" si="208"/>
        <v>0</v>
      </c>
      <c r="DX88" s="66">
        <f t="shared" si="209"/>
        <v>0</v>
      </c>
      <c r="DY88" s="66"/>
      <c r="DZ88" s="66">
        <f t="shared" si="210"/>
        <v>4676677</v>
      </c>
      <c r="EB88" s="9">
        <f t="shared" si="155"/>
        <v>2125618253</v>
      </c>
      <c r="EC88" s="9">
        <f t="shared" si="156"/>
        <v>2125618253</v>
      </c>
      <c r="ED88" s="9">
        <f t="shared" si="157"/>
        <v>2125618253</v>
      </c>
    </row>
    <row r="89" spans="1:136" ht="42" customHeight="1" x14ac:dyDescent="0.3">
      <c r="A89" s="218"/>
      <c r="B89" s="210"/>
      <c r="C89" s="101" t="s">
        <v>160</v>
      </c>
      <c r="D89" s="71" t="s">
        <v>159</v>
      </c>
      <c r="E89" s="87">
        <v>520</v>
      </c>
      <c r="F89" s="67" t="s">
        <v>127</v>
      </c>
      <c r="G89" s="66">
        <f t="shared" si="163"/>
        <v>12000000</v>
      </c>
      <c r="H89" s="35"/>
      <c r="I89" s="35"/>
      <c r="J89" s="35"/>
      <c r="K89" s="35"/>
      <c r="L89" s="35"/>
      <c r="M89" s="35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>
        <v>12000000</v>
      </c>
      <c r="Y89" s="66"/>
      <c r="Z89" s="66"/>
      <c r="AA89" s="66"/>
      <c r="AB89" s="66"/>
      <c r="AC89" s="66"/>
      <c r="AD89" s="66"/>
      <c r="AE89" s="22">
        <f t="shared" si="211"/>
        <v>0.83888891666666665</v>
      </c>
      <c r="AF89" s="66">
        <f t="shared" si="164"/>
        <v>10066667</v>
      </c>
      <c r="AG89" s="66"/>
      <c r="AH89" s="66"/>
      <c r="AI89" s="66"/>
      <c r="AJ89" s="66"/>
      <c r="AK89" s="66"/>
      <c r="AL89" s="66"/>
      <c r="AM89" s="66"/>
      <c r="AN89" s="66"/>
      <c r="AO89" s="66"/>
      <c r="AP89" s="66"/>
      <c r="AQ89" s="66"/>
      <c r="AR89" s="66"/>
      <c r="AS89" s="66"/>
      <c r="AT89" s="66"/>
      <c r="AU89" s="66"/>
      <c r="AV89" s="66"/>
      <c r="AW89" s="66">
        <f>+'[9]ENERO 2019'!$Y$1162</f>
        <v>10066667</v>
      </c>
      <c r="AX89" s="66"/>
      <c r="AY89" s="66"/>
      <c r="AZ89" s="66"/>
      <c r="BA89" s="66"/>
      <c r="BB89" s="66"/>
      <c r="BC89" s="66"/>
      <c r="BD89" s="22">
        <f t="shared" si="152"/>
        <v>0.16111108333333335</v>
      </c>
      <c r="BE89" s="66">
        <f t="shared" si="165"/>
        <v>1933333</v>
      </c>
      <c r="BF89" s="66">
        <f t="shared" si="166"/>
        <v>0</v>
      </c>
      <c r="BG89" s="66">
        <f t="shared" si="167"/>
        <v>0</v>
      </c>
      <c r="BH89" s="66">
        <f t="shared" si="168"/>
        <v>0</v>
      </c>
      <c r="BI89" s="66">
        <f t="shared" si="169"/>
        <v>0</v>
      </c>
      <c r="BJ89" s="66">
        <f t="shared" si="170"/>
        <v>0</v>
      </c>
      <c r="BK89" s="66">
        <f t="shared" si="171"/>
        <v>0</v>
      </c>
      <c r="BL89" s="66">
        <f t="shared" si="172"/>
        <v>0</v>
      </c>
      <c r="BM89" s="66">
        <f t="shared" si="173"/>
        <v>0</v>
      </c>
      <c r="BN89" s="66">
        <f t="shared" si="174"/>
        <v>0</v>
      </c>
      <c r="BO89" s="66">
        <f t="shared" si="175"/>
        <v>0</v>
      </c>
      <c r="BP89" s="66">
        <f t="shared" si="176"/>
        <v>0</v>
      </c>
      <c r="BQ89" s="66">
        <f t="shared" si="177"/>
        <v>0</v>
      </c>
      <c r="BR89" s="66">
        <f t="shared" si="178"/>
        <v>0</v>
      </c>
      <c r="BS89" s="66">
        <f t="shared" si="179"/>
        <v>0</v>
      </c>
      <c r="BT89" s="66">
        <f t="shared" si="180"/>
        <v>0</v>
      </c>
      <c r="BU89" s="66">
        <f t="shared" si="181"/>
        <v>0</v>
      </c>
      <c r="BV89" s="66">
        <f t="shared" si="182"/>
        <v>1933333</v>
      </c>
      <c r="BW89" s="66">
        <f t="shared" si="183"/>
        <v>0</v>
      </c>
      <c r="BX89" s="66">
        <f t="shared" si="184"/>
        <v>0</v>
      </c>
      <c r="BY89" s="66">
        <f t="shared" si="185"/>
        <v>0</v>
      </c>
      <c r="BZ89" s="66">
        <f t="shared" si="186"/>
        <v>0</v>
      </c>
      <c r="CA89" s="66"/>
      <c r="CB89" s="66">
        <f t="shared" si="187"/>
        <v>0</v>
      </c>
      <c r="CC89" s="22">
        <f t="shared" si="153"/>
        <v>0.83766358333333335</v>
      </c>
      <c r="CD89" s="66">
        <f t="shared" si="188"/>
        <v>10051963</v>
      </c>
      <c r="CE89" s="66"/>
      <c r="CF89" s="66"/>
      <c r="CG89" s="66"/>
      <c r="CH89" s="66"/>
      <c r="CI89" s="66"/>
      <c r="CJ89" s="66"/>
      <c r="CK89" s="66"/>
      <c r="CL89" s="66"/>
      <c r="CM89" s="66"/>
      <c r="CN89" s="66"/>
      <c r="CO89" s="66"/>
      <c r="CP89" s="66"/>
      <c r="CQ89" s="66"/>
      <c r="CR89" s="66"/>
      <c r="CS89" s="66"/>
      <c r="CT89" s="66"/>
      <c r="CU89" s="66">
        <f>+'[9]ENERO 2019'!$H$1160</f>
        <v>10051963</v>
      </c>
      <c r="CV89" s="66"/>
      <c r="CW89" s="66"/>
      <c r="CX89" s="66"/>
      <c r="CY89" s="66"/>
      <c r="CZ89" s="66"/>
      <c r="DA89" s="66"/>
      <c r="DB89" s="22">
        <f t="shared" si="154"/>
        <v>0.16233641666666665</v>
      </c>
      <c r="DC89" s="66">
        <f t="shared" si="189"/>
        <v>1948037</v>
      </c>
      <c r="DD89" s="66">
        <f t="shared" si="190"/>
        <v>0</v>
      </c>
      <c r="DE89" s="66">
        <f t="shared" si="191"/>
        <v>0</v>
      </c>
      <c r="DF89" s="66"/>
      <c r="DG89" s="66">
        <f t="shared" si="192"/>
        <v>0</v>
      </c>
      <c r="DH89" s="66">
        <f t="shared" si="193"/>
        <v>0</v>
      </c>
      <c r="DI89" s="66">
        <f t="shared" si="194"/>
        <v>0</v>
      </c>
      <c r="DJ89" s="66">
        <f t="shared" si="195"/>
        <v>0</v>
      </c>
      <c r="DK89" s="66">
        <f t="shared" si="196"/>
        <v>0</v>
      </c>
      <c r="DL89" s="66">
        <f t="shared" si="197"/>
        <v>0</v>
      </c>
      <c r="DM89" s="66">
        <f t="shared" si="198"/>
        <v>0</v>
      </c>
      <c r="DN89" s="66">
        <f t="shared" si="199"/>
        <v>0</v>
      </c>
      <c r="DO89" s="66">
        <f t="shared" si="200"/>
        <v>0</v>
      </c>
      <c r="DP89" s="66">
        <f t="shared" si="201"/>
        <v>0</v>
      </c>
      <c r="DQ89" s="66">
        <f t="shared" si="202"/>
        <v>0</v>
      </c>
      <c r="DR89" s="66">
        <f t="shared" si="203"/>
        <v>0</v>
      </c>
      <c r="DS89" s="66">
        <f t="shared" si="204"/>
        <v>0</v>
      </c>
      <c r="DT89" s="66">
        <f t="shared" si="205"/>
        <v>1948037</v>
      </c>
      <c r="DU89" s="66">
        <f t="shared" si="206"/>
        <v>0</v>
      </c>
      <c r="DV89" s="66">
        <f t="shared" si="207"/>
        <v>0</v>
      </c>
      <c r="DW89" s="66">
        <f t="shared" si="208"/>
        <v>0</v>
      </c>
      <c r="DX89" s="66">
        <f t="shared" si="209"/>
        <v>0</v>
      </c>
      <c r="DY89" s="66"/>
      <c r="DZ89" s="66">
        <f t="shared" si="210"/>
        <v>0</v>
      </c>
      <c r="EB89" s="9">
        <f t="shared" si="155"/>
        <v>12000000</v>
      </c>
      <c r="EC89" s="9">
        <f t="shared" si="156"/>
        <v>12000000</v>
      </c>
      <c r="ED89" s="9">
        <f t="shared" si="157"/>
        <v>12000000</v>
      </c>
    </row>
    <row r="90" spans="1:136" ht="29.4" customHeight="1" x14ac:dyDescent="0.3">
      <c r="A90" s="218"/>
      <c r="B90" s="210"/>
      <c r="C90" s="101" t="s">
        <v>158</v>
      </c>
      <c r="D90" s="71" t="s">
        <v>157</v>
      </c>
      <c r="E90" s="87">
        <v>520</v>
      </c>
      <c r="F90" s="67" t="s">
        <v>127</v>
      </c>
      <c r="G90" s="66">
        <f t="shared" si="163"/>
        <v>15000000</v>
      </c>
      <c r="H90" s="35"/>
      <c r="I90" s="35">
        <f>250000000-100000000-150000000</f>
        <v>0</v>
      </c>
      <c r="J90" s="35"/>
      <c r="K90" s="35"/>
      <c r="L90" s="35"/>
      <c r="M90" s="35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  <c r="AA90" s="66"/>
      <c r="AB90" s="66"/>
      <c r="AC90" s="66"/>
      <c r="AD90" s="66">
        <f>15000000+15000000-15000000</f>
        <v>15000000</v>
      </c>
      <c r="AE90" s="22">
        <f t="shared" si="211"/>
        <v>0.57488740000000005</v>
      </c>
      <c r="AF90" s="66">
        <f t="shared" si="164"/>
        <v>8623311</v>
      </c>
      <c r="AG90" s="66"/>
      <c r="AH90" s="66"/>
      <c r="AI90" s="66"/>
      <c r="AJ90" s="66"/>
      <c r="AK90" s="66"/>
      <c r="AL90" s="66"/>
      <c r="AM90" s="66"/>
      <c r="AN90" s="66"/>
      <c r="AO90" s="66"/>
      <c r="AP90" s="66"/>
      <c r="AQ90" s="66"/>
      <c r="AR90" s="66"/>
      <c r="AS90" s="66"/>
      <c r="AT90" s="66"/>
      <c r="AU90" s="66"/>
      <c r="AV90" s="66"/>
      <c r="AW90" s="66"/>
      <c r="AX90" s="66"/>
      <c r="AY90" s="66"/>
      <c r="AZ90" s="66"/>
      <c r="BA90" s="66"/>
      <c r="BB90" s="66"/>
      <c r="BC90" s="66">
        <f>+'[1]OCTUBRE 2019'!$AG$4625</f>
        <v>8623311</v>
      </c>
      <c r="BD90" s="22">
        <f t="shared" si="152"/>
        <v>0.42511259999999995</v>
      </c>
      <c r="BE90" s="66">
        <f t="shared" si="165"/>
        <v>6376689</v>
      </c>
      <c r="BF90" s="66">
        <f t="shared" si="166"/>
        <v>0</v>
      </c>
      <c r="BG90" s="66">
        <f t="shared" si="167"/>
        <v>0</v>
      </c>
      <c r="BH90" s="66">
        <f t="shared" si="168"/>
        <v>0</v>
      </c>
      <c r="BI90" s="66">
        <f t="shared" si="169"/>
        <v>0</v>
      </c>
      <c r="BJ90" s="66">
        <f t="shared" si="170"/>
        <v>0</v>
      </c>
      <c r="BK90" s="66">
        <f t="shared" si="171"/>
        <v>0</v>
      </c>
      <c r="BL90" s="66">
        <f t="shared" si="172"/>
        <v>0</v>
      </c>
      <c r="BM90" s="66">
        <f t="shared" si="173"/>
        <v>0</v>
      </c>
      <c r="BN90" s="66">
        <f t="shared" si="174"/>
        <v>0</v>
      </c>
      <c r="BO90" s="66">
        <f t="shared" si="175"/>
        <v>0</v>
      </c>
      <c r="BP90" s="66">
        <f t="shared" si="176"/>
        <v>0</v>
      </c>
      <c r="BQ90" s="66">
        <f t="shared" si="177"/>
        <v>0</v>
      </c>
      <c r="BR90" s="66">
        <f t="shared" si="178"/>
        <v>0</v>
      </c>
      <c r="BS90" s="66">
        <f t="shared" si="179"/>
        <v>0</v>
      </c>
      <c r="BT90" s="66">
        <f t="shared" si="180"/>
        <v>0</v>
      </c>
      <c r="BU90" s="66">
        <f t="shared" si="181"/>
        <v>0</v>
      </c>
      <c r="BV90" s="66">
        <f t="shared" si="182"/>
        <v>0</v>
      </c>
      <c r="BW90" s="66">
        <f t="shared" si="183"/>
        <v>0</v>
      </c>
      <c r="BX90" s="66">
        <f t="shared" si="184"/>
        <v>0</v>
      </c>
      <c r="BY90" s="66">
        <f t="shared" si="185"/>
        <v>0</v>
      </c>
      <c r="BZ90" s="66">
        <f t="shared" si="186"/>
        <v>0</v>
      </c>
      <c r="CA90" s="66"/>
      <c r="CB90" s="66">
        <f t="shared" si="187"/>
        <v>6376689</v>
      </c>
      <c r="CC90" s="22">
        <f t="shared" si="153"/>
        <v>0.57488740000000005</v>
      </c>
      <c r="CD90" s="66">
        <f t="shared" si="188"/>
        <v>8623311</v>
      </c>
      <c r="CE90" s="66"/>
      <c r="CF90" s="66"/>
      <c r="CG90" s="66"/>
      <c r="CH90" s="66"/>
      <c r="CI90" s="66"/>
      <c r="CJ90" s="66"/>
      <c r="CK90" s="66"/>
      <c r="CL90" s="66"/>
      <c r="CM90" s="66"/>
      <c r="CN90" s="66"/>
      <c r="CO90" s="66"/>
      <c r="CP90" s="66"/>
      <c r="CQ90" s="66"/>
      <c r="CR90" s="66"/>
      <c r="CS90" s="66"/>
      <c r="CT90" s="66"/>
      <c r="CU90" s="66"/>
      <c r="CV90" s="66"/>
      <c r="CW90" s="66"/>
      <c r="CX90" s="66"/>
      <c r="CY90" s="66"/>
      <c r="CZ90" s="66"/>
      <c r="DA90" s="66">
        <f>+'[1]OCTUBRE 2019'!$H$4623</f>
        <v>8623311</v>
      </c>
      <c r="DB90" s="22">
        <f t="shared" si="154"/>
        <v>0.42511259999999995</v>
      </c>
      <c r="DC90" s="66">
        <f t="shared" si="189"/>
        <v>6376689</v>
      </c>
      <c r="DD90" s="66">
        <f t="shared" si="190"/>
        <v>0</v>
      </c>
      <c r="DE90" s="66">
        <f t="shared" si="191"/>
        <v>0</v>
      </c>
      <c r="DF90" s="66"/>
      <c r="DG90" s="66">
        <f t="shared" si="192"/>
        <v>0</v>
      </c>
      <c r="DH90" s="66">
        <f t="shared" si="193"/>
        <v>0</v>
      </c>
      <c r="DI90" s="66">
        <f t="shared" si="194"/>
        <v>0</v>
      </c>
      <c r="DJ90" s="66">
        <f t="shared" si="195"/>
        <v>0</v>
      </c>
      <c r="DK90" s="66">
        <f t="shared" si="196"/>
        <v>0</v>
      </c>
      <c r="DL90" s="66">
        <f t="shared" si="197"/>
        <v>0</v>
      </c>
      <c r="DM90" s="66">
        <f t="shared" si="198"/>
        <v>0</v>
      </c>
      <c r="DN90" s="66">
        <f t="shared" si="199"/>
        <v>0</v>
      </c>
      <c r="DO90" s="66">
        <f t="shared" si="200"/>
        <v>0</v>
      </c>
      <c r="DP90" s="66">
        <f t="shared" si="201"/>
        <v>0</v>
      </c>
      <c r="DQ90" s="66">
        <f t="shared" si="202"/>
        <v>0</v>
      </c>
      <c r="DR90" s="66">
        <f t="shared" si="203"/>
        <v>0</v>
      </c>
      <c r="DS90" s="66">
        <f t="shared" si="204"/>
        <v>0</v>
      </c>
      <c r="DT90" s="66">
        <f t="shared" si="205"/>
        <v>0</v>
      </c>
      <c r="DU90" s="66">
        <f t="shared" si="206"/>
        <v>0</v>
      </c>
      <c r="DV90" s="66">
        <f t="shared" si="207"/>
        <v>0</v>
      </c>
      <c r="DW90" s="66">
        <f t="shared" si="208"/>
        <v>0</v>
      </c>
      <c r="DX90" s="66">
        <f t="shared" si="209"/>
        <v>0</v>
      </c>
      <c r="DY90" s="66"/>
      <c r="DZ90" s="66">
        <f t="shared" si="210"/>
        <v>6376689</v>
      </c>
      <c r="EB90" s="9">
        <f t="shared" si="155"/>
        <v>15000000</v>
      </c>
      <c r="EC90" s="9">
        <f t="shared" si="156"/>
        <v>15000000</v>
      </c>
      <c r="ED90" s="9">
        <f t="shared" si="157"/>
        <v>15000000</v>
      </c>
    </row>
    <row r="91" spans="1:136" ht="43.2" x14ac:dyDescent="0.3">
      <c r="A91" s="218"/>
      <c r="B91" s="210"/>
      <c r="C91" s="101" t="s">
        <v>156</v>
      </c>
      <c r="D91" s="71" t="s">
        <v>155</v>
      </c>
      <c r="E91" s="87">
        <v>520</v>
      </c>
      <c r="F91" s="67" t="s">
        <v>127</v>
      </c>
      <c r="G91" s="66">
        <f t="shared" si="163"/>
        <v>0</v>
      </c>
      <c r="H91" s="35"/>
      <c r="I91" s="66"/>
      <c r="J91" s="66"/>
      <c r="K91" s="66"/>
      <c r="L91" s="35"/>
      <c r="M91" s="35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22" t="e">
        <f t="shared" si="211"/>
        <v>#DIV/0!</v>
      </c>
      <c r="AF91" s="66">
        <f t="shared" si="164"/>
        <v>0</v>
      </c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66"/>
      <c r="AS91" s="66"/>
      <c r="AT91" s="66"/>
      <c r="AU91" s="66"/>
      <c r="AV91" s="66"/>
      <c r="AW91" s="66"/>
      <c r="AX91" s="66"/>
      <c r="AY91" s="66"/>
      <c r="AZ91" s="66"/>
      <c r="BA91" s="66"/>
      <c r="BB91" s="66"/>
      <c r="BC91" s="66"/>
      <c r="BD91" s="22" t="e">
        <f t="shared" si="152"/>
        <v>#DIV/0!</v>
      </c>
      <c r="BE91" s="66">
        <f t="shared" si="165"/>
        <v>0</v>
      </c>
      <c r="BF91" s="66">
        <f t="shared" si="166"/>
        <v>0</v>
      </c>
      <c r="BG91" s="66">
        <f t="shared" si="167"/>
        <v>0</v>
      </c>
      <c r="BH91" s="66">
        <f t="shared" si="168"/>
        <v>0</v>
      </c>
      <c r="BI91" s="66">
        <f t="shared" si="169"/>
        <v>0</v>
      </c>
      <c r="BJ91" s="66">
        <f t="shared" si="170"/>
        <v>0</v>
      </c>
      <c r="BK91" s="66">
        <f t="shared" si="171"/>
        <v>0</v>
      </c>
      <c r="BL91" s="66">
        <f t="shared" si="172"/>
        <v>0</v>
      </c>
      <c r="BM91" s="66">
        <f t="shared" si="173"/>
        <v>0</v>
      </c>
      <c r="BN91" s="66">
        <f t="shared" si="174"/>
        <v>0</v>
      </c>
      <c r="BO91" s="66">
        <f t="shared" si="175"/>
        <v>0</v>
      </c>
      <c r="BP91" s="66">
        <f t="shared" si="176"/>
        <v>0</v>
      </c>
      <c r="BQ91" s="66">
        <f t="shared" si="177"/>
        <v>0</v>
      </c>
      <c r="BR91" s="66">
        <f t="shared" si="178"/>
        <v>0</v>
      </c>
      <c r="BS91" s="66">
        <f t="shared" si="179"/>
        <v>0</v>
      </c>
      <c r="BT91" s="66">
        <f t="shared" si="180"/>
        <v>0</v>
      </c>
      <c r="BU91" s="66">
        <f t="shared" si="181"/>
        <v>0</v>
      </c>
      <c r="BV91" s="66">
        <f t="shared" si="182"/>
        <v>0</v>
      </c>
      <c r="BW91" s="66">
        <f t="shared" si="183"/>
        <v>0</v>
      </c>
      <c r="BX91" s="66">
        <f t="shared" si="184"/>
        <v>0</v>
      </c>
      <c r="BY91" s="66">
        <f t="shared" si="185"/>
        <v>0</v>
      </c>
      <c r="BZ91" s="66">
        <f t="shared" si="186"/>
        <v>0</v>
      </c>
      <c r="CA91" s="66"/>
      <c r="CB91" s="66">
        <f t="shared" si="187"/>
        <v>0</v>
      </c>
      <c r="CC91" s="22" t="e">
        <f t="shared" si="153"/>
        <v>#DIV/0!</v>
      </c>
      <c r="CD91" s="66">
        <f t="shared" si="188"/>
        <v>0</v>
      </c>
      <c r="CE91" s="66"/>
      <c r="CF91" s="66"/>
      <c r="CG91" s="66"/>
      <c r="CH91" s="66"/>
      <c r="CI91" s="66"/>
      <c r="CJ91" s="66"/>
      <c r="CK91" s="66"/>
      <c r="CL91" s="66"/>
      <c r="CM91" s="66"/>
      <c r="CN91" s="66"/>
      <c r="CO91" s="66"/>
      <c r="CP91" s="66"/>
      <c r="CQ91" s="66"/>
      <c r="CR91" s="66"/>
      <c r="CS91" s="66"/>
      <c r="CT91" s="66"/>
      <c r="CU91" s="66"/>
      <c r="CV91" s="66"/>
      <c r="CW91" s="66"/>
      <c r="CX91" s="66"/>
      <c r="CY91" s="66"/>
      <c r="CZ91" s="66"/>
      <c r="DA91" s="66"/>
      <c r="DB91" s="22" t="e">
        <f t="shared" si="154"/>
        <v>#DIV/0!</v>
      </c>
      <c r="DC91" s="66">
        <f t="shared" si="189"/>
        <v>0</v>
      </c>
      <c r="DD91" s="66">
        <f t="shared" si="190"/>
        <v>0</v>
      </c>
      <c r="DE91" s="66">
        <f t="shared" si="191"/>
        <v>0</v>
      </c>
      <c r="DF91" s="66"/>
      <c r="DG91" s="66">
        <f t="shared" si="192"/>
        <v>0</v>
      </c>
      <c r="DH91" s="66">
        <f t="shared" si="193"/>
        <v>0</v>
      </c>
      <c r="DI91" s="66">
        <f t="shared" si="194"/>
        <v>0</v>
      </c>
      <c r="DJ91" s="66">
        <f t="shared" si="195"/>
        <v>0</v>
      </c>
      <c r="DK91" s="66">
        <f t="shared" si="196"/>
        <v>0</v>
      </c>
      <c r="DL91" s="66">
        <f t="shared" si="197"/>
        <v>0</v>
      </c>
      <c r="DM91" s="66">
        <f t="shared" si="198"/>
        <v>0</v>
      </c>
      <c r="DN91" s="66">
        <f t="shared" si="199"/>
        <v>0</v>
      </c>
      <c r="DO91" s="66">
        <f t="shared" si="200"/>
        <v>0</v>
      </c>
      <c r="DP91" s="66">
        <f t="shared" si="201"/>
        <v>0</v>
      </c>
      <c r="DQ91" s="66">
        <f t="shared" si="202"/>
        <v>0</v>
      </c>
      <c r="DR91" s="66">
        <f t="shared" si="203"/>
        <v>0</v>
      </c>
      <c r="DS91" s="66">
        <f t="shared" si="204"/>
        <v>0</v>
      </c>
      <c r="DT91" s="66">
        <f t="shared" si="205"/>
        <v>0</v>
      </c>
      <c r="DU91" s="66">
        <f t="shared" si="206"/>
        <v>0</v>
      </c>
      <c r="DV91" s="66">
        <f t="shared" si="207"/>
        <v>0</v>
      </c>
      <c r="DW91" s="66">
        <f t="shared" si="208"/>
        <v>0</v>
      </c>
      <c r="DX91" s="66">
        <f t="shared" si="209"/>
        <v>0</v>
      </c>
      <c r="DY91" s="66"/>
      <c r="DZ91" s="66">
        <f t="shared" si="210"/>
        <v>0</v>
      </c>
      <c r="EB91" s="9">
        <f t="shared" si="155"/>
        <v>0</v>
      </c>
      <c r="EC91" s="9">
        <f t="shared" si="156"/>
        <v>0</v>
      </c>
      <c r="ED91" s="9">
        <f t="shared" si="157"/>
        <v>0</v>
      </c>
    </row>
    <row r="92" spans="1:136" ht="29.4" customHeight="1" x14ac:dyDescent="0.3">
      <c r="A92" s="218"/>
      <c r="B92" s="210"/>
      <c r="C92" s="101" t="s">
        <v>154</v>
      </c>
      <c r="D92" s="71" t="s">
        <v>153</v>
      </c>
      <c r="E92" s="87">
        <v>520</v>
      </c>
      <c r="F92" s="67" t="s">
        <v>152</v>
      </c>
      <c r="G92" s="66">
        <f t="shared" si="163"/>
        <v>740144558</v>
      </c>
      <c r="H92" s="35"/>
      <c r="I92" s="35">
        <f>100000000+20000000</f>
        <v>120000000</v>
      </c>
      <c r="J92" s="35"/>
      <c r="K92" s="35"/>
      <c r="L92" s="35"/>
      <c r="M92" s="35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>
        <f>10000000+4000000+4000000</f>
        <v>18000000</v>
      </c>
      <c r="Y92" s="66">
        <v>52565530</v>
      </c>
      <c r="Z92" s="66">
        <f>50000000</f>
        <v>50000000</v>
      </c>
      <c r="AA92" s="66"/>
      <c r="AB92" s="66"/>
      <c r="AC92" s="66"/>
      <c r="AD92" s="66">
        <f>428900527+60000000+45000000+1533333-30000000-6000000+54739+4090429-4000000</f>
        <v>499579028</v>
      </c>
      <c r="AE92" s="22">
        <f t="shared" si="211"/>
        <v>0.9746036314165536</v>
      </c>
      <c r="AF92" s="66">
        <f t="shared" si="164"/>
        <v>721347574</v>
      </c>
      <c r="AG92" s="66"/>
      <c r="AH92" s="66">
        <f>+'[3]JULIO 2019'!$K$3187</f>
        <v>120000000</v>
      </c>
      <c r="AI92" s="66"/>
      <c r="AJ92" s="66"/>
      <c r="AK92" s="66"/>
      <c r="AL92" s="66"/>
      <c r="AM92" s="66"/>
      <c r="AN92" s="66"/>
      <c r="AO92" s="66"/>
      <c r="AP92" s="66"/>
      <c r="AQ92" s="66"/>
      <c r="AR92" s="66"/>
      <c r="AS92" s="66"/>
      <c r="AT92" s="66"/>
      <c r="AU92" s="66"/>
      <c r="AV92" s="66"/>
      <c r="AW92" s="66">
        <f>+'[3]JULIO 2019'!$Y$3187</f>
        <v>18000000</v>
      </c>
      <c r="AX92" s="66">
        <f>+'[4]JUNIO 2019'!$Z$2604</f>
        <v>52565530</v>
      </c>
      <c r="AY92" s="66">
        <f>+'[2]SEPTIEMBRE 2019'!$AB$4178</f>
        <v>50000000</v>
      </c>
      <c r="AZ92" s="66"/>
      <c r="BA92" s="66"/>
      <c r="BB92" s="66"/>
      <c r="BC92" s="66">
        <f>+'[1]OCTUBRE 2019'!$AG$4649</f>
        <v>480782044</v>
      </c>
      <c r="BD92" s="22">
        <f t="shared" si="152"/>
        <v>2.5396368583446405E-2</v>
      </c>
      <c r="BE92" s="66">
        <f t="shared" si="165"/>
        <v>18796984</v>
      </c>
      <c r="BF92" s="66">
        <f t="shared" si="166"/>
        <v>0</v>
      </c>
      <c r="BG92" s="66">
        <f t="shared" si="167"/>
        <v>0</v>
      </c>
      <c r="BH92" s="66">
        <f t="shared" si="168"/>
        <v>0</v>
      </c>
      <c r="BI92" s="66">
        <f t="shared" si="169"/>
        <v>0</v>
      </c>
      <c r="BJ92" s="66">
        <f t="shared" si="170"/>
        <v>0</v>
      </c>
      <c r="BK92" s="66">
        <f t="shared" si="171"/>
        <v>0</v>
      </c>
      <c r="BL92" s="66">
        <f t="shared" si="172"/>
        <v>0</v>
      </c>
      <c r="BM92" s="66">
        <f t="shared" si="173"/>
        <v>0</v>
      </c>
      <c r="BN92" s="66">
        <f t="shared" si="174"/>
        <v>0</v>
      </c>
      <c r="BO92" s="66">
        <f t="shared" si="175"/>
        <v>0</v>
      </c>
      <c r="BP92" s="66">
        <f t="shared" si="176"/>
        <v>0</v>
      </c>
      <c r="BQ92" s="66">
        <f t="shared" si="177"/>
        <v>0</v>
      </c>
      <c r="BR92" s="66">
        <f t="shared" si="178"/>
        <v>0</v>
      </c>
      <c r="BS92" s="66">
        <f t="shared" si="179"/>
        <v>0</v>
      </c>
      <c r="BT92" s="66">
        <f t="shared" si="180"/>
        <v>0</v>
      </c>
      <c r="BU92" s="66">
        <f t="shared" si="181"/>
        <v>0</v>
      </c>
      <c r="BV92" s="66">
        <f t="shared" si="182"/>
        <v>0</v>
      </c>
      <c r="BW92" s="66">
        <f t="shared" si="183"/>
        <v>0</v>
      </c>
      <c r="BX92" s="66">
        <f t="shared" si="184"/>
        <v>0</v>
      </c>
      <c r="BY92" s="66">
        <f t="shared" si="185"/>
        <v>0</v>
      </c>
      <c r="BZ92" s="66">
        <f t="shared" si="186"/>
        <v>0</v>
      </c>
      <c r="CA92" s="66"/>
      <c r="CB92" s="66">
        <f t="shared" si="187"/>
        <v>18796984</v>
      </c>
      <c r="CC92" s="22">
        <f t="shared" si="153"/>
        <v>0.93985438449984526</v>
      </c>
      <c r="CD92" s="66">
        <f t="shared" si="188"/>
        <v>695628108</v>
      </c>
      <c r="CE92" s="66"/>
      <c r="CF92" s="66">
        <f>+'[7]AGOSTO 2019'!$H$3677+'[7]AGOSTO 2019'!$K$3726</f>
        <v>120000000</v>
      </c>
      <c r="CG92" s="66"/>
      <c r="CH92" s="66"/>
      <c r="CI92" s="66"/>
      <c r="CJ92" s="66"/>
      <c r="CK92" s="66"/>
      <c r="CL92" s="66"/>
      <c r="CM92" s="66"/>
      <c r="CN92" s="66"/>
      <c r="CO92" s="66"/>
      <c r="CP92" s="66"/>
      <c r="CQ92" s="66"/>
      <c r="CR92" s="66"/>
      <c r="CS92" s="66"/>
      <c r="CT92" s="66"/>
      <c r="CU92" s="66">
        <f>+'[2]SEPTIEMBRE 2019'!$H$4246+'[2]SEPTIEMBRE 2019'!$Z$4283-'[2]SEPTIEMBRE 2019'!$I$4283</f>
        <v>12199995</v>
      </c>
      <c r="CV92" s="66">
        <f>+'[2]SEPTIEMBRE 2019'!$H$4265</f>
        <v>51900000</v>
      </c>
      <c r="CW92" s="66">
        <f>+'[1]OCTUBRE 2019'!$H$4780</f>
        <v>46993332</v>
      </c>
      <c r="CX92" s="66"/>
      <c r="CY92" s="66"/>
      <c r="CZ92" s="66"/>
      <c r="DA92" s="66">
        <f>'[1]OCTUBRE 2019'!$H$4647-CW92-CV92-CU92-CF92</f>
        <v>464534781</v>
      </c>
      <c r="DB92" s="22">
        <f t="shared" si="154"/>
        <v>6.0145615500154737E-2</v>
      </c>
      <c r="DC92" s="66">
        <f t="shared" si="189"/>
        <v>44516450</v>
      </c>
      <c r="DD92" s="66">
        <f t="shared" si="190"/>
        <v>0</v>
      </c>
      <c r="DE92" s="66">
        <f t="shared" si="191"/>
        <v>0</v>
      </c>
      <c r="DF92" s="66"/>
      <c r="DG92" s="66">
        <f t="shared" si="192"/>
        <v>0</v>
      </c>
      <c r="DH92" s="66">
        <f t="shared" si="193"/>
        <v>0</v>
      </c>
      <c r="DI92" s="66">
        <f t="shared" si="194"/>
        <v>0</v>
      </c>
      <c r="DJ92" s="66">
        <f t="shared" si="195"/>
        <v>0</v>
      </c>
      <c r="DK92" s="66">
        <f t="shared" si="196"/>
        <v>0</v>
      </c>
      <c r="DL92" s="66">
        <f t="shared" si="197"/>
        <v>0</v>
      </c>
      <c r="DM92" s="66">
        <f t="shared" si="198"/>
        <v>0</v>
      </c>
      <c r="DN92" s="66">
        <f t="shared" si="199"/>
        <v>0</v>
      </c>
      <c r="DO92" s="66">
        <f t="shared" si="200"/>
        <v>0</v>
      </c>
      <c r="DP92" s="66">
        <f t="shared" si="201"/>
        <v>0</v>
      </c>
      <c r="DQ92" s="66">
        <f t="shared" si="202"/>
        <v>0</v>
      </c>
      <c r="DR92" s="66">
        <f t="shared" si="203"/>
        <v>0</v>
      </c>
      <c r="DS92" s="66">
        <f t="shared" si="204"/>
        <v>0</v>
      </c>
      <c r="DT92" s="66">
        <f t="shared" si="205"/>
        <v>5800005</v>
      </c>
      <c r="DU92" s="66">
        <f t="shared" si="206"/>
        <v>665530</v>
      </c>
      <c r="DV92" s="66">
        <f t="shared" si="207"/>
        <v>3006668</v>
      </c>
      <c r="DW92" s="66">
        <f t="shared" si="208"/>
        <v>0</v>
      </c>
      <c r="DX92" s="66">
        <f t="shared" si="209"/>
        <v>0</v>
      </c>
      <c r="DY92" s="66"/>
      <c r="DZ92" s="66">
        <f t="shared" si="210"/>
        <v>35044247</v>
      </c>
      <c r="EB92" s="9">
        <f t="shared" si="155"/>
        <v>740144558</v>
      </c>
      <c r="EC92" s="9">
        <f t="shared" si="156"/>
        <v>740144558</v>
      </c>
      <c r="ED92" s="9">
        <f t="shared" si="157"/>
        <v>740144558</v>
      </c>
    </row>
    <row r="93" spans="1:136" ht="32.4" customHeight="1" x14ac:dyDescent="0.3">
      <c r="A93" s="111"/>
      <c r="B93" s="210"/>
      <c r="C93" s="101" t="s">
        <v>151</v>
      </c>
      <c r="D93" s="69" t="s">
        <v>150</v>
      </c>
      <c r="E93" s="87">
        <v>520</v>
      </c>
      <c r="F93" s="67" t="s">
        <v>149</v>
      </c>
      <c r="G93" s="66">
        <f t="shared" si="163"/>
        <v>6000000</v>
      </c>
      <c r="H93" s="35"/>
      <c r="I93" s="35"/>
      <c r="J93" s="35"/>
      <c r="K93" s="35"/>
      <c r="L93" s="35"/>
      <c r="M93" s="35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>
        <f>10000000-4000000</f>
        <v>6000000</v>
      </c>
      <c r="Y93" s="66"/>
      <c r="Z93" s="66"/>
      <c r="AA93" s="66"/>
      <c r="AB93" s="66"/>
      <c r="AC93" s="66"/>
      <c r="AD93" s="66"/>
      <c r="AE93" s="22">
        <f t="shared" si="211"/>
        <v>0.85833333333333328</v>
      </c>
      <c r="AF93" s="66">
        <f t="shared" si="164"/>
        <v>5150000</v>
      </c>
      <c r="AG93" s="66"/>
      <c r="AH93" s="66"/>
      <c r="AI93" s="66"/>
      <c r="AJ93" s="66"/>
      <c r="AK93" s="66"/>
      <c r="AL93" s="66"/>
      <c r="AM93" s="66"/>
      <c r="AN93" s="66"/>
      <c r="AO93" s="66"/>
      <c r="AP93" s="66"/>
      <c r="AQ93" s="66"/>
      <c r="AR93" s="66"/>
      <c r="AS93" s="66"/>
      <c r="AT93" s="66"/>
      <c r="AU93" s="66"/>
      <c r="AV93" s="66"/>
      <c r="AW93" s="66">
        <f>+'[1]OCTUBRE 2019'!$Z$4799</f>
        <v>5150000</v>
      </c>
      <c r="AX93" s="66"/>
      <c r="AY93" s="66"/>
      <c r="AZ93" s="66"/>
      <c r="BA93" s="66"/>
      <c r="BB93" s="66"/>
      <c r="BC93" s="66"/>
      <c r="BD93" s="22">
        <f t="shared" si="152"/>
        <v>0.14166666666666672</v>
      </c>
      <c r="BE93" s="66">
        <f t="shared" si="165"/>
        <v>850000</v>
      </c>
      <c r="BF93" s="66">
        <f t="shared" si="166"/>
        <v>0</v>
      </c>
      <c r="BG93" s="66">
        <f t="shared" si="167"/>
        <v>0</v>
      </c>
      <c r="BH93" s="66">
        <f t="shared" si="168"/>
        <v>0</v>
      </c>
      <c r="BI93" s="66">
        <f t="shared" si="169"/>
        <v>0</v>
      </c>
      <c r="BJ93" s="66">
        <f t="shared" si="170"/>
        <v>0</v>
      </c>
      <c r="BK93" s="66">
        <f t="shared" si="171"/>
        <v>0</v>
      </c>
      <c r="BL93" s="66">
        <f t="shared" si="172"/>
        <v>0</v>
      </c>
      <c r="BM93" s="66">
        <f t="shared" si="173"/>
        <v>0</v>
      </c>
      <c r="BN93" s="66">
        <f t="shared" si="174"/>
        <v>0</v>
      </c>
      <c r="BO93" s="66">
        <f t="shared" si="175"/>
        <v>0</v>
      </c>
      <c r="BP93" s="66">
        <f t="shared" si="176"/>
        <v>0</v>
      </c>
      <c r="BQ93" s="66">
        <f t="shared" si="177"/>
        <v>0</v>
      </c>
      <c r="BR93" s="66">
        <f t="shared" si="178"/>
        <v>0</v>
      </c>
      <c r="BS93" s="66">
        <f t="shared" si="179"/>
        <v>0</v>
      </c>
      <c r="BT93" s="66">
        <f t="shared" si="180"/>
        <v>0</v>
      </c>
      <c r="BU93" s="66">
        <f t="shared" si="181"/>
        <v>0</v>
      </c>
      <c r="BV93" s="66">
        <f t="shared" si="182"/>
        <v>850000</v>
      </c>
      <c r="BW93" s="66">
        <f t="shared" si="183"/>
        <v>0</v>
      </c>
      <c r="BX93" s="66">
        <f t="shared" si="184"/>
        <v>0</v>
      </c>
      <c r="BY93" s="66">
        <f t="shared" si="185"/>
        <v>0</v>
      </c>
      <c r="BZ93" s="66">
        <f t="shared" si="186"/>
        <v>0</v>
      </c>
      <c r="CA93" s="66"/>
      <c r="CB93" s="66">
        <f t="shared" si="187"/>
        <v>0</v>
      </c>
      <c r="CC93" s="22">
        <f t="shared" si="153"/>
        <v>0.85833333333333328</v>
      </c>
      <c r="CD93" s="66">
        <f t="shared" si="188"/>
        <v>5150000</v>
      </c>
      <c r="CE93" s="66"/>
      <c r="CF93" s="66"/>
      <c r="CG93" s="66"/>
      <c r="CH93" s="66"/>
      <c r="CI93" s="66"/>
      <c r="CJ93" s="66"/>
      <c r="CK93" s="66"/>
      <c r="CL93" s="66"/>
      <c r="CM93" s="66"/>
      <c r="CN93" s="66"/>
      <c r="CO93" s="66"/>
      <c r="CP93" s="66"/>
      <c r="CQ93" s="66"/>
      <c r="CR93" s="66"/>
      <c r="CS93" s="66"/>
      <c r="CT93" s="66"/>
      <c r="CU93" s="66">
        <f>+'[1]OCTUBRE 2019'!$H$4797</f>
        <v>5150000</v>
      </c>
      <c r="CV93" s="66"/>
      <c r="CW93" s="66"/>
      <c r="CX93" s="66"/>
      <c r="CY93" s="66"/>
      <c r="CZ93" s="66"/>
      <c r="DA93" s="66"/>
      <c r="DB93" s="22">
        <f t="shared" si="154"/>
        <v>0.14166666666666672</v>
      </c>
      <c r="DC93" s="66">
        <f t="shared" si="189"/>
        <v>850000</v>
      </c>
      <c r="DD93" s="66">
        <f t="shared" si="190"/>
        <v>0</v>
      </c>
      <c r="DE93" s="66">
        <f t="shared" si="191"/>
        <v>0</v>
      </c>
      <c r="DF93" s="66"/>
      <c r="DG93" s="66">
        <f t="shared" si="192"/>
        <v>0</v>
      </c>
      <c r="DH93" s="66">
        <f t="shared" si="193"/>
        <v>0</v>
      </c>
      <c r="DI93" s="66">
        <f t="shared" si="194"/>
        <v>0</v>
      </c>
      <c r="DJ93" s="66">
        <f t="shared" si="195"/>
        <v>0</v>
      </c>
      <c r="DK93" s="66">
        <f t="shared" si="196"/>
        <v>0</v>
      </c>
      <c r="DL93" s="66">
        <f t="shared" si="197"/>
        <v>0</v>
      </c>
      <c r="DM93" s="66">
        <f t="shared" si="198"/>
        <v>0</v>
      </c>
      <c r="DN93" s="66">
        <f t="shared" si="199"/>
        <v>0</v>
      </c>
      <c r="DO93" s="66">
        <f t="shared" si="200"/>
        <v>0</v>
      </c>
      <c r="DP93" s="66">
        <f t="shared" si="201"/>
        <v>0</v>
      </c>
      <c r="DQ93" s="66">
        <f t="shared" si="202"/>
        <v>0</v>
      </c>
      <c r="DR93" s="66">
        <f t="shared" si="203"/>
        <v>0</v>
      </c>
      <c r="DS93" s="66">
        <f t="shared" si="204"/>
        <v>0</v>
      </c>
      <c r="DT93" s="66">
        <f t="shared" si="205"/>
        <v>850000</v>
      </c>
      <c r="DU93" s="66">
        <f t="shared" si="206"/>
        <v>0</v>
      </c>
      <c r="DV93" s="66">
        <f t="shared" si="207"/>
        <v>0</v>
      </c>
      <c r="DW93" s="66">
        <f t="shared" si="208"/>
        <v>0</v>
      </c>
      <c r="DX93" s="66">
        <f t="shared" si="209"/>
        <v>0</v>
      </c>
      <c r="DY93" s="66"/>
      <c r="DZ93" s="66">
        <f t="shared" si="210"/>
        <v>0</v>
      </c>
      <c r="EB93" s="9">
        <f t="shared" si="155"/>
        <v>6000000</v>
      </c>
      <c r="EC93" s="9">
        <f t="shared" si="156"/>
        <v>6000000</v>
      </c>
      <c r="ED93" s="9">
        <f t="shared" si="157"/>
        <v>6000000</v>
      </c>
    </row>
    <row r="94" spans="1:136" ht="28.2" customHeight="1" x14ac:dyDescent="0.3">
      <c r="A94" s="111"/>
      <c r="B94" s="210"/>
      <c r="C94" s="101" t="s">
        <v>148</v>
      </c>
      <c r="D94" s="69" t="s">
        <v>147</v>
      </c>
      <c r="E94" s="87">
        <v>520</v>
      </c>
      <c r="F94" s="67" t="s">
        <v>127</v>
      </c>
      <c r="G94" s="66">
        <f t="shared" si="163"/>
        <v>6000000</v>
      </c>
      <c r="H94" s="35"/>
      <c r="I94" s="35"/>
      <c r="J94" s="35"/>
      <c r="K94" s="35"/>
      <c r="L94" s="35"/>
      <c r="M94" s="35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>
        <f>10000000-4000000</f>
        <v>6000000</v>
      </c>
      <c r="Y94" s="66"/>
      <c r="Z94" s="66"/>
      <c r="AA94" s="66"/>
      <c r="AB94" s="66"/>
      <c r="AC94" s="66"/>
      <c r="AD94" s="66"/>
      <c r="AE94" s="22">
        <f t="shared" si="211"/>
        <v>0.53</v>
      </c>
      <c r="AF94" s="66">
        <f t="shared" si="164"/>
        <v>3180000</v>
      </c>
      <c r="AG94" s="66"/>
      <c r="AH94" s="66"/>
      <c r="AI94" s="66"/>
      <c r="AJ94" s="66"/>
      <c r="AK94" s="66"/>
      <c r="AL94" s="66"/>
      <c r="AM94" s="66"/>
      <c r="AN94" s="66"/>
      <c r="AO94" s="66"/>
      <c r="AP94" s="66"/>
      <c r="AQ94" s="66"/>
      <c r="AR94" s="66"/>
      <c r="AS94" s="66"/>
      <c r="AT94" s="66"/>
      <c r="AU94" s="66"/>
      <c r="AV94" s="66"/>
      <c r="AW94" s="66">
        <f>+'[1]OCTUBRE 2019'!$Z$4810</f>
        <v>3180000</v>
      </c>
      <c r="AX94" s="66"/>
      <c r="AY94" s="66"/>
      <c r="AZ94" s="66"/>
      <c r="BA94" s="66"/>
      <c r="BB94" s="66"/>
      <c r="BC94" s="66"/>
      <c r="BD94" s="22">
        <f t="shared" si="152"/>
        <v>0.47</v>
      </c>
      <c r="BE94" s="66">
        <f t="shared" si="165"/>
        <v>2820000</v>
      </c>
      <c r="BF94" s="66">
        <f t="shared" si="166"/>
        <v>0</v>
      </c>
      <c r="BG94" s="66">
        <f t="shared" si="167"/>
        <v>0</v>
      </c>
      <c r="BH94" s="66">
        <f t="shared" si="168"/>
        <v>0</v>
      </c>
      <c r="BI94" s="66">
        <f t="shared" si="169"/>
        <v>0</v>
      </c>
      <c r="BJ94" s="66">
        <f t="shared" si="170"/>
        <v>0</v>
      </c>
      <c r="BK94" s="66">
        <f t="shared" si="171"/>
        <v>0</v>
      </c>
      <c r="BL94" s="66">
        <f t="shared" si="172"/>
        <v>0</v>
      </c>
      <c r="BM94" s="66">
        <f t="shared" si="173"/>
        <v>0</v>
      </c>
      <c r="BN94" s="66">
        <f t="shared" si="174"/>
        <v>0</v>
      </c>
      <c r="BO94" s="66">
        <f t="shared" si="175"/>
        <v>0</v>
      </c>
      <c r="BP94" s="66">
        <f t="shared" si="176"/>
        <v>0</v>
      </c>
      <c r="BQ94" s="66">
        <f t="shared" si="177"/>
        <v>0</v>
      </c>
      <c r="BR94" s="66">
        <f t="shared" si="178"/>
        <v>0</v>
      </c>
      <c r="BS94" s="66">
        <f t="shared" si="179"/>
        <v>0</v>
      </c>
      <c r="BT94" s="66">
        <f t="shared" si="180"/>
        <v>0</v>
      </c>
      <c r="BU94" s="66">
        <f t="shared" si="181"/>
        <v>0</v>
      </c>
      <c r="BV94" s="66">
        <f t="shared" si="182"/>
        <v>2820000</v>
      </c>
      <c r="BW94" s="66">
        <f t="shared" si="183"/>
        <v>0</v>
      </c>
      <c r="BX94" s="66">
        <f t="shared" si="184"/>
        <v>0</v>
      </c>
      <c r="BY94" s="66">
        <f t="shared" si="185"/>
        <v>0</v>
      </c>
      <c r="BZ94" s="66">
        <f t="shared" si="186"/>
        <v>0</v>
      </c>
      <c r="CA94" s="66"/>
      <c r="CB94" s="66">
        <f t="shared" si="187"/>
        <v>0</v>
      </c>
      <c r="CC94" s="22">
        <f t="shared" si="153"/>
        <v>0.53</v>
      </c>
      <c r="CD94" s="66">
        <f t="shared" si="188"/>
        <v>3180000</v>
      </c>
      <c r="CE94" s="66"/>
      <c r="CF94" s="66"/>
      <c r="CG94" s="66"/>
      <c r="CH94" s="66"/>
      <c r="CI94" s="66"/>
      <c r="CJ94" s="66"/>
      <c r="CK94" s="66"/>
      <c r="CL94" s="66"/>
      <c r="CM94" s="66"/>
      <c r="CN94" s="66"/>
      <c r="CO94" s="66"/>
      <c r="CP94" s="66"/>
      <c r="CQ94" s="66"/>
      <c r="CR94" s="66"/>
      <c r="CS94" s="66"/>
      <c r="CT94" s="66"/>
      <c r="CU94" s="66">
        <f>+'[1]OCTUBRE 2019'!$H$4808</f>
        <v>3180000</v>
      </c>
      <c r="CV94" s="66"/>
      <c r="CW94" s="66"/>
      <c r="CX94" s="66"/>
      <c r="CY94" s="66"/>
      <c r="CZ94" s="66"/>
      <c r="DA94" s="66"/>
      <c r="DB94" s="22">
        <f t="shared" si="154"/>
        <v>0.47</v>
      </c>
      <c r="DC94" s="66">
        <f t="shared" si="189"/>
        <v>2820000</v>
      </c>
      <c r="DD94" s="66">
        <f t="shared" si="190"/>
        <v>0</v>
      </c>
      <c r="DE94" s="66">
        <f t="shared" si="191"/>
        <v>0</v>
      </c>
      <c r="DF94" s="66"/>
      <c r="DG94" s="66">
        <f t="shared" si="192"/>
        <v>0</v>
      </c>
      <c r="DH94" s="66">
        <f t="shared" si="193"/>
        <v>0</v>
      </c>
      <c r="DI94" s="66">
        <f t="shared" si="194"/>
        <v>0</v>
      </c>
      <c r="DJ94" s="66">
        <f t="shared" si="195"/>
        <v>0</v>
      </c>
      <c r="DK94" s="66">
        <f t="shared" si="196"/>
        <v>0</v>
      </c>
      <c r="DL94" s="66">
        <f t="shared" si="197"/>
        <v>0</v>
      </c>
      <c r="DM94" s="66">
        <f t="shared" si="198"/>
        <v>0</v>
      </c>
      <c r="DN94" s="66">
        <f t="shared" si="199"/>
        <v>0</v>
      </c>
      <c r="DO94" s="66">
        <f t="shared" si="200"/>
        <v>0</v>
      </c>
      <c r="DP94" s="66">
        <f t="shared" si="201"/>
        <v>0</v>
      </c>
      <c r="DQ94" s="66">
        <f t="shared" si="202"/>
        <v>0</v>
      </c>
      <c r="DR94" s="66">
        <f t="shared" si="203"/>
        <v>0</v>
      </c>
      <c r="DS94" s="66">
        <f t="shared" si="204"/>
        <v>0</v>
      </c>
      <c r="DT94" s="66">
        <f t="shared" si="205"/>
        <v>2820000</v>
      </c>
      <c r="DU94" s="66">
        <f t="shared" si="206"/>
        <v>0</v>
      </c>
      <c r="DV94" s="66">
        <f t="shared" si="207"/>
        <v>0</v>
      </c>
      <c r="DW94" s="66">
        <f t="shared" si="208"/>
        <v>0</v>
      </c>
      <c r="DX94" s="66">
        <f t="shared" si="209"/>
        <v>0</v>
      </c>
      <c r="DY94" s="66"/>
      <c r="DZ94" s="66">
        <f t="shared" si="210"/>
        <v>0</v>
      </c>
      <c r="EB94" s="9">
        <f t="shared" si="155"/>
        <v>6000000</v>
      </c>
      <c r="EC94" s="9">
        <f t="shared" si="156"/>
        <v>6000000</v>
      </c>
      <c r="ED94" s="9">
        <f t="shared" si="157"/>
        <v>6000000</v>
      </c>
    </row>
    <row r="95" spans="1:136" ht="30.6" customHeight="1" x14ac:dyDescent="0.3">
      <c r="A95" s="111"/>
      <c r="B95" s="110"/>
      <c r="C95" s="109" t="s">
        <v>146</v>
      </c>
      <c r="D95" s="69" t="s">
        <v>145</v>
      </c>
      <c r="E95" s="108">
        <v>520</v>
      </c>
      <c r="F95" s="67" t="s">
        <v>127</v>
      </c>
      <c r="G95" s="66">
        <f t="shared" si="163"/>
        <v>260000000</v>
      </c>
      <c r="H95" s="35"/>
      <c r="I95" s="35">
        <f>100000000+150000000-20000000</f>
        <v>230000000</v>
      </c>
      <c r="J95" s="35"/>
      <c r="K95" s="35"/>
      <c r="L95" s="35"/>
      <c r="M95" s="35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>
        <v>30000000</v>
      </c>
      <c r="Z95" s="66"/>
      <c r="AA95" s="66"/>
      <c r="AB95" s="66"/>
      <c r="AC95" s="66"/>
      <c r="AD95" s="66"/>
      <c r="AE95" s="22">
        <f t="shared" si="211"/>
        <v>0.78975746923076928</v>
      </c>
      <c r="AF95" s="66">
        <f t="shared" si="164"/>
        <v>205336942</v>
      </c>
      <c r="AG95" s="66"/>
      <c r="AH95" s="66">
        <f>+'[1]OCTUBRE 2019'!$K$4821</f>
        <v>175738782</v>
      </c>
      <c r="AI95" s="66"/>
      <c r="AJ95" s="66"/>
      <c r="AK95" s="66"/>
      <c r="AL95" s="66"/>
      <c r="AM95" s="66"/>
      <c r="AN95" s="66"/>
      <c r="AO95" s="66"/>
      <c r="AP95" s="66"/>
      <c r="AQ95" s="66"/>
      <c r="AR95" s="66"/>
      <c r="AS95" s="66"/>
      <c r="AT95" s="66"/>
      <c r="AU95" s="66"/>
      <c r="AV95" s="66"/>
      <c r="AW95" s="66"/>
      <c r="AX95" s="66">
        <f>+'[7]AGOSTO 2019'!$Z$3773</f>
        <v>29598160</v>
      </c>
      <c r="AY95" s="66"/>
      <c r="AZ95" s="66"/>
      <c r="BA95" s="66"/>
      <c r="BB95" s="66"/>
      <c r="BC95" s="66"/>
      <c r="BD95" s="22">
        <f t="shared" si="152"/>
        <v>0.21024253076923072</v>
      </c>
      <c r="BE95" s="66">
        <f t="shared" si="165"/>
        <v>54663058</v>
      </c>
      <c r="BF95" s="66">
        <f t="shared" si="166"/>
        <v>0</v>
      </c>
      <c r="BG95" s="66">
        <f t="shared" si="167"/>
        <v>54261218</v>
      </c>
      <c r="BH95" s="66">
        <f t="shared" si="168"/>
        <v>0</v>
      </c>
      <c r="BI95" s="66">
        <f t="shared" si="169"/>
        <v>0</v>
      </c>
      <c r="BJ95" s="66">
        <f t="shared" si="170"/>
        <v>0</v>
      </c>
      <c r="BK95" s="66">
        <f t="shared" si="171"/>
        <v>0</v>
      </c>
      <c r="BL95" s="66">
        <f t="shared" si="172"/>
        <v>0</v>
      </c>
      <c r="BM95" s="66">
        <f t="shared" si="173"/>
        <v>0</v>
      </c>
      <c r="BN95" s="66">
        <f t="shared" si="174"/>
        <v>0</v>
      </c>
      <c r="BO95" s="66">
        <f t="shared" si="175"/>
        <v>0</v>
      </c>
      <c r="BP95" s="66">
        <f t="shared" si="176"/>
        <v>0</v>
      </c>
      <c r="BQ95" s="66">
        <f t="shared" si="177"/>
        <v>0</v>
      </c>
      <c r="BR95" s="66">
        <f t="shared" si="178"/>
        <v>0</v>
      </c>
      <c r="BS95" s="66">
        <f t="shared" si="179"/>
        <v>0</v>
      </c>
      <c r="BT95" s="66">
        <f t="shared" si="180"/>
        <v>0</v>
      </c>
      <c r="BU95" s="66">
        <f t="shared" si="181"/>
        <v>0</v>
      </c>
      <c r="BV95" s="66">
        <f t="shared" si="182"/>
        <v>0</v>
      </c>
      <c r="BW95" s="66">
        <f t="shared" si="183"/>
        <v>401840</v>
      </c>
      <c r="BX95" s="66">
        <f t="shared" si="184"/>
        <v>0</v>
      </c>
      <c r="BY95" s="66">
        <f t="shared" si="185"/>
        <v>0</v>
      </c>
      <c r="BZ95" s="66">
        <f t="shared" si="186"/>
        <v>0</v>
      </c>
      <c r="CA95" s="66"/>
      <c r="CB95" s="66">
        <f t="shared" si="187"/>
        <v>0</v>
      </c>
      <c r="CC95" s="22">
        <f t="shared" si="153"/>
        <v>0.68196445769230774</v>
      </c>
      <c r="CD95" s="66">
        <f t="shared" si="188"/>
        <v>177310759</v>
      </c>
      <c r="CE95" s="66"/>
      <c r="CF95" s="66">
        <f>+'[1]OCTUBRE 2019'!$H$4819-CV95</f>
        <v>148012621</v>
      </c>
      <c r="CG95" s="66"/>
      <c r="CH95" s="66"/>
      <c r="CI95" s="66"/>
      <c r="CJ95" s="66"/>
      <c r="CK95" s="66"/>
      <c r="CL95" s="66"/>
      <c r="CM95" s="66"/>
      <c r="CN95" s="66"/>
      <c r="CO95" s="66"/>
      <c r="CP95" s="66"/>
      <c r="CQ95" s="66"/>
      <c r="CR95" s="66"/>
      <c r="CS95" s="66"/>
      <c r="CT95" s="66"/>
      <c r="CU95" s="66"/>
      <c r="CV95" s="66">
        <f>+'[1]OCTUBRE 2019'!$H$4822+'[1]OCTUBRE 2019'!$H$4825+'[1]OCTUBRE 2019'!$H$4826+'[1]OCTUBRE 2019'!$H$4827+'[1]OCTUBRE 2019'!$H$4846+'[1]OCTUBRE 2019'!$H$4851+'[1]OCTUBRE 2019'!$H$4853+'[1]OCTUBRE 2019'!$H$4854+'[1]OCTUBRE 2019'!$H$4855+'[1]OCTUBRE 2019'!$H$4856+'[1]OCTUBRE 2019'!$H$4857+'[1]OCTUBRE 2019'!$H$4858+'[1]OCTUBRE 2019'!$H$4859+'[1]OCTUBRE 2019'!$H$4864+'[1]OCTUBRE 2019'!$H$4868+'[1]OCTUBRE 2019'!$H$4869+'[1]OCTUBRE 2019'!$H$4870+'[1]OCTUBRE 2019'!$H$4873+'[1]OCTUBRE 2019'!$H$4874+'[1]OCTUBRE 2019'!$H$4875+'[1]OCTUBRE 2019'!$H$4932+'[1]OCTUBRE 2019'!$H$4933+'[1]OCTUBRE 2019'!$H$4934+'[1]OCTUBRE 2019'!$H$4936+'[1]OCTUBRE 2019'!$H$4937+'[1]OCTUBRE 2019'!$H$4938+'[1]OCTUBRE 2019'!$H$4939+'[1]OCTUBRE 2019'!$H$4959+'[1]OCTUBRE 2019'!$H$5041</f>
        <v>29298138</v>
      </c>
      <c r="CW95" s="66"/>
      <c r="CX95" s="66"/>
      <c r="CY95" s="66"/>
      <c r="CZ95" s="66"/>
      <c r="DA95" s="66"/>
      <c r="DB95" s="22">
        <f t="shared" si="154"/>
        <v>0.31803554230769226</v>
      </c>
      <c r="DC95" s="66">
        <f t="shared" si="189"/>
        <v>82689241</v>
      </c>
      <c r="DD95" s="66">
        <f t="shared" si="190"/>
        <v>0</v>
      </c>
      <c r="DE95" s="66">
        <f t="shared" si="191"/>
        <v>81987379</v>
      </c>
      <c r="DF95" s="66"/>
      <c r="DG95" s="66">
        <f t="shared" si="192"/>
        <v>0</v>
      </c>
      <c r="DH95" s="66">
        <f t="shared" si="193"/>
        <v>0</v>
      </c>
      <c r="DI95" s="66">
        <f t="shared" si="194"/>
        <v>0</v>
      </c>
      <c r="DJ95" s="66">
        <f t="shared" si="195"/>
        <v>0</v>
      </c>
      <c r="DK95" s="66">
        <f t="shared" si="196"/>
        <v>0</v>
      </c>
      <c r="DL95" s="66">
        <f t="shared" si="197"/>
        <v>0</v>
      </c>
      <c r="DM95" s="66">
        <f t="shared" si="198"/>
        <v>0</v>
      </c>
      <c r="DN95" s="66">
        <f t="shared" si="199"/>
        <v>0</v>
      </c>
      <c r="DO95" s="66">
        <f t="shared" si="200"/>
        <v>0</v>
      </c>
      <c r="DP95" s="66">
        <f t="shared" si="201"/>
        <v>0</v>
      </c>
      <c r="DQ95" s="66">
        <f t="shared" si="202"/>
        <v>0</v>
      </c>
      <c r="DR95" s="66">
        <f t="shared" si="203"/>
        <v>0</v>
      </c>
      <c r="DS95" s="66">
        <f t="shared" si="204"/>
        <v>0</v>
      </c>
      <c r="DT95" s="66">
        <f t="shared" si="205"/>
        <v>0</v>
      </c>
      <c r="DU95" s="66">
        <f t="shared" si="206"/>
        <v>701862</v>
      </c>
      <c r="DV95" s="66">
        <f t="shared" si="207"/>
        <v>0</v>
      </c>
      <c r="DW95" s="66">
        <f t="shared" si="208"/>
        <v>0</v>
      </c>
      <c r="DX95" s="66">
        <f t="shared" si="209"/>
        <v>0</v>
      </c>
      <c r="DY95" s="66"/>
      <c r="DZ95" s="66">
        <f t="shared" si="210"/>
        <v>0</v>
      </c>
      <c r="EB95" s="9">
        <f t="shared" si="155"/>
        <v>260000000</v>
      </c>
      <c r="EC95" s="9">
        <f t="shared" si="156"/>
        <v>260000000</v>
      </c>
      <c r="ED95" s="9">
        <f t="shared" si="157"/>
        <v>260000000</v>
      </c>
    </row>
    <row r="96" spans="1:136" ht="17.399999999999999" customHeight="1" x14ac:dyDescent="0.3">
      <c r="A96" s="217" t="s">
        <v>133</v>
      </c>
      <c r="B96" s="219" t="s">
        <v>144</v>
      </c>
      <c r="C96" s="101" t="s">
        <v>143</v>
      </c>
      <c r="D96" s="71" t="s">
        <v>142</v>
      </c>
      <c r="E96" s="87">
        <v>520</v>
      </c>
      <c r="F96" s="67" t="s">
        <v>127</v>
      </c>
      <c r="G96" s="66">
        <f t="shared" si="163"/>
        <v>40000000</v>
      </c>
      <c r="H96" s="35"/>
      <c r="I96" s="66">
        <v>25000000</v>
      </c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>
        <f>5000000+10000000</f>
        <v>15000000</v>
      </c>
      <c r="Y96" s="66"/>
      <c r="Z96" s="66"/>
      <c r="AA96" s="66"/>
      <c r="AB96" s="66"/>
      <c r="AC96" s="66"/>
      <c r="AD96" s="66"/>
      <c r="AE96" s="22">
        <f t="shared" si="211"/>
        <v>0.99999994999999997</v>
      </c>
      <c r="AF96" s="66">
        <f t="shared" si="164"/>
        <v>39999998</v>
      </c>
      <c r="AG96" s="66"/>
      <c r="AH96" s="66">
        <f>+'[3]JULIO 2019'!$K$3507</f>
        <v>24999998</v>
      </c>
      <c r="AI96" s="66"/>
      <c r="AJ96" s="66"/>
      <c r="AK96" s="66"/>
      <c r="AL96" s="66"/>
      <c r="AM96" s="66"/>
      <c r="AN96" s="66"/>
      <c r="AO96" s="66"/>
      <c r="AP96" s="66"/>
      <c r="AQ96" s="66"/>
      <c r="AR96" s="66"/>
      <c r="AS96" s="66"/>
      <c r="AT96" s="66"/>
      <c r="AU96" s="66"/>
      <c r="AV96" s="66"/>
      <c r="AW96" s="66">
        <f>+'[7]AGOSTO 2019'!$Y$3983</f>
        <v>15000000</v>
      </c>
      <c r="AX96" s="66"/>
      <c r="AY96" s="66"/>
      <c r="AZ96" s="66"/>
      <c r="BA96" s="66"/>
      <c r="BB96" s="66"/>
      <c r="BC96" s="66"/>
      <c r="BD96" s="22">
        <f t="shared" si="152"/>
        <v>5.0000000029193359E-8</v>
      </c>
      <c r="BE96" s="66">
        <f t="shared" si="165"/>
        <v>2</v>
      </c>
      <c r="BF96" s="66">
        <f t="shared" si="166"/>
        <v>0</v>
      </c>
      <c r="BG96" s="66">
        <f t="shared" si="167"/>
        <v>2</v>
      </c>
      <c r="BH96" s="66">
        <f t="shared" si="168"/>
        <v>0</v>
      </c>
      <c r="BI96" s="66">
        <f t="shared" si="169"/>
        <v>0</v>
      </c>
      <c r="BJ96" s="66">
        <f t="shared" si="170"/>
        <v>0</v>
      </c>
      <c r="BK96" s="66">
        <f t="shared" si="171"/>
        <v>0</v>
      </c>
      <c r="BL96" s="66">
        <f t="shared" si="172"/>
        <v>0</v>
      </c>
      <c r="BM96" s="66">
        <f t="shared" si="173"/>
        <v>0</v>
      </c>
      <c r="BN96" s="66">
        <f t="shared" si="174"/>
        <v>0</v>
      </c>
      <c r="BO96" s="66">
        <f t="shared" si="175"/>
        <v>0</v>
      </c>
      <c r="BP96" s="66">
        <f t="shared" si="176"/>
        <v>0</v>
      </c>
      <c r="BQ96" s="66">
        <f t="shared" si="177"/>
        <v>0</v>
      </c>
      <c r="BR96" s="66">
        <f t="shared" si="178"/>
        <v>0</v>
      </c>
      <c r="BS96" s="66">
        <f t="shared" si="179"/>
        <v>0</v>
      </c>
      <c r="BT96" s="66">
        <f t="shared" si="180"/>
        <v>0</v>
      </c>
      <c r="BU96" s="66">
        <f t="shared" si="181"/>
        <v>0</v>
      </c>
      <c r="BV96" s="66">
        <f t="shared" si="182"/>
        <v>0</v>
      </c>
      <c r="BW96" s="66">
        <f t="shared" si="183"/>
        <v>0</v>
      </c>
      <c r="BX96" s="66">
        <f t="shared" si="184"/>
        <v>0</v>
      </c>
      <c r="BY96" s="66">
        <f t="shared" si="185"/>
        <v>0</v>
      </c>
      <c r="BZ96" s="66">
        <f t="shared" si="186"/>
        <v>0</v>
      </c>
      <c r="CA96" s="66"/>
      <c r="CB96" s="66">
        <f t="shared" si="187"/>
        <v>0</v>
      </c>
      <c r="CC96" s="22">
        <f t="shared" si="153"/>
        <v>0.99982660000000001</v>
      </c>
      <c r="CD96" s="66">
        <f t="shared" si="188"/>
        <v>39993064</v>
      </c>
      <c r="CE96" s="66"/>
      <c r="CF96" s="66">
        <f>+'[2]SEPTIEMBRE 2019'!$H$4624+'[2]SEPTIEMBRE 2019'!$H$4627</f>
        <v>24999998</v>
      </c>
      <c r="CG96" s="66"/>
      <c r="CH96" s="66"/>
      <c r="CI96" s="66"/>
      <c r="CJ96" s="66"/>
      <c r="CK96" s="66"/>
      <c r="CL96" s="66"/>
      <c r="CM96" s="66"/>
      <c r="CN96" s="66"/>
      <c r="CO96" s="66"/>
      <c r="CP96" s="66"/>
      <c r="CQ96" s="66"/>
      <c r="CR96" s="66"/>
      <c r="CS96" s="66"/>
      <c r="CT96" s="66"/>
      <c r="CU96" s="66">
        <f>+'[2]SEPTIEMBRE 2019'!$H$4630</f>
        <v>14993066</v>
      </c>
      <c r="CV96" s="66"/>
      <c r="CW96" s="66"/>
      <c r="CX96" s="66"/>
      <c r="CY96" s="66"/>
      <c r="CZ96" s="66"/>
      <c r="DA96" s="66"/>
      <c r="DB96" s="22">
        <f t="shared" si="154"/>
        <v>1.7339999999999023E-4</v>
      </c>
      <c r="DC96" s="66">
        <f t="shared" si="189"/>
        <v>6936</v>
      </c>
      <c r="DD96" s="66">
        <f t="shared" si="190"/>
        <v>0</v>
      </c>
      <c r="DE96" s="66">
        <f t="shared" si="191"/>
        <v>2</v>
      </c>
      <c r="DF96" s="66"/>
      <c r="DG96" s="66">
        <f t="shared" si="192"/>
        <v>0</v>
      </c>
      <c r="DH96" s="66">
        <f t="shared" si="193"/>
        <v>0</v>
      </c>
      <c r="DI96" s="66">
        <f t="shared" si="194"/>
        <v>0</v>
      </c>
      <c r="DJ96" s="66">
        <f t="shared" si="195"/>
        <v>0</v>
      </c>
      <c r="DK96" s="66">
        <f t="shared" si="196"/>
        <v>0</v>
      </c>
      <c r="DL96" s="66">
        <f t="shared" si="197"/>
        <v>0</v>
      </c>
      <c r="DM96" s="66">
        <f t="shared" si="198"/>
        <v>0</v>
      </c>
      <c r="DN96" s="66">
        <f t="shared" si="199"/>
        <v>0</v>
      </c>
      <c r="DO96" s="66">
        <f t="shared" si="200"/>
        <v>0</v>
      </c>
      <c r="DP96" s="66">
        <f t="shared" si="201"/>
        <v>0</v>
      </c>
      <c r="DQ96" s="66">
        <f t="shared" si="202"/>
        <v>0</v>
      </c>
      <c r="DR96" s="66">
        <f t="shared" si="203"/>
        <v>0</v>
      </c>
      <c r="DS96" s="66">
        <f t="shared" si="204"/>
        <v>0</v>
      </c>
      <c r="DT96" s="66">
        <f t="shared" si="205"/>
        <v>6934</v>
      </c>
      <c r="DU96" s="66">
        <f t="shared" si="206"/>
        <v>0</v>
      </c>
      <c r="DV96" s="66">
        <f t="shared" si="207"/>
        <v>0</v>
      </c>
      <c r="DW96" s="66">
        <f t="shared" si="208"/>
        <v>0</v>
      </c>
      <c r="DX96" s="66">
        <f t="shared" si="209"/>
        <v>0</v>
      </c>
      <c r="DY96" s="66"/>
      <c r="DZ96" s="66">
        <f t="shared" si="210"/>
        <v>0</v>
      </c>
      <c r="EB96" s="9">
        <f t="shared" si="155"/>
        <v>40000000</v>
      </c>
      <c r="EC96" s="9">
        <f t="shared" si="156"/>
        <v>40000000</v>
      </c>
      <c r="ED96" s="9">
        <f t="shared" si="157"/>
        <v>40000000</v>
      </c>
    </row>
    <row r="97" spans="1:136" ht="18" customHeight="1" x14ac:dyDescent="0.3">
      <c r="A97" s="218"/>
      <c r="B97" s="220"/>
      <c r="C97" s="101" t="s">
        <v>141</v>
      </c>
      <c r="D97" s="71" t="s">
        <v>140</v>
      </c>
      <c r="E97" s="87">
        <v>520</v>
      </c>
      <c r="F97" s="67" t="s">
        <v>127</v>
      </c>
      <c r="G97" s="66">
        <f t="shared" si="163"/>
        <v>80000000</v>
      </c>
      <c r="H97" s="35"/>
      <c r="I97" s="66">
        <v>40000000</v>
      </c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99"/>
      <c r="Y97" s="66"/>
      <c r="Z97" s="66">
        <v>40000000</v>
      </c>
      <c r="AA97" s="66"/>
      <c r="AB97" s="66"/>
      <c r="AC97" s="66"/>
      <c r="AD97" s="66"/>
      <c r="AE97" s="22">
        <f t="shared" si="211"/>
        <v>0.97248915000000002</v>
      </c>
      <c r="AF97" s="66">
        <f t="shared" si="164"/>
        <v>77799132</v>
      </c>
      <c r="AG97" s="66"/>
      <c r="AH97" s="66">
        <f>+'[5]MARZO 2019'!$K$1706</f>
        <v>39433571</v>
      </c>
      <c r="AI97" s="66"/>
      <c r="AJ97" s="66"/>
      <c r="AK97" s="66"/>
      <c r="AL97" s="66"/>
      <c r="AM97" s="66"/>
      <c r="AN97" s="66"/>
      <c r="AO97" s="66"/>
      <c r="AP97" s="66"/>
      <c r="AQ97" s="66"/>
      <c r="AR97" s="66"/>
      <c r="AS97" s="66"/>
      <c r="AT97" s="66"/>
      <c r="AU97" s="66"/>
      <c r="AV97" s="66"/>
      <c r="AW97" s="66"/>
      <c r="AX97" s="66"/>
      <c r="AY97" s="66">
        <f>+'[1]OCTUBRE 2019'!$AB$5206</f>
        <v>38365561</v>
      </c>
      <c r="AZ97" s="66"/>
      <c r="BA97" s="66"/>
      <c r="BB97" s="66"/>
      <c r="BC97" s="66"/>
      <c r="BD97" s="22">
        <f t="shared" si="152"/>
        <v>2.7510849999999976E-2</v>
      </c>
      <c r="BE97" s="66">
        <f t="shared" si="165"/>
        <v>2200868</v>
      </c>
      <c r="BF97" s="66">
        <f t="shared" si="166"/>
        <v>0</v>
      </c>
      <c r="BG97" s="66">
        <f t="shared" si="167"/>
        <v>566429</v>
      </c>
      <c r="BH97" s="66">
        <f t="shared" si="168"/>
        <v>0</v>
      </c>
      <c r="BI97" s="66">
        <f t="shared" si="169"/>
        <v>0</v>
      </c>
      <c r="BJ97" s="66">
        <f t="shared" si="170"/>
        <v>0</v>
      </c>
      <c r="BK97" s="66">
        <f t="shared" si="171"/>
        <v>0</v>
      </c>
      <c r="BL97" s="66">
        <f t="shared" si="172"/>
        <v>0</v>
      </c>
      <c r="BM97" s="66">
        <f t="shared" si="173"/>
        <v>0</v>
      </c>
      <c r="BN97" s="66">
        <f t="shared" si="174"/>
        <v>0</v>
      </c>
      <c r="BO97" s="66">
        <f t="shared" si="175"/>
        <v>0</v>
      </c>
      <c r="BP97" s="66">
        <f t="shared" si="176"/>
        <v>0</v>
      </c>
      <c r="BQ97" s="66">
        <f t="shared" si="177"/>
        <v>0</v>
      </c>
      <c r="BR97" s="66">
        <f t="shared" si="178"/>
        <v>0</v>
      </c>
      <c r="BS97" s="66">
        <f t="shared" si="179"/>
        <v>0</v>
      </c>
      <c r="BT97" s="66">
        <f t="shared" si="180"/>
        <v>0</v>
      </c>
      <c r="BU97" s="66">
        <f t="shared" si="181"/>
        <v>0</v>
      </c>
      <c r="BV97" s="66">
        <f t="shared" si="182"/>
        <v>0</v>
      </c>
      <c r="BW97" s="66">
        <f t="shared" si="183"/>
        <v>0</v>
      </c>
      <c r="BX97" s="66">
        <f t="shared" si="184"/>
        <v>1634439</v>
      </c>
      <c r="BY97" s="66">
        <f t="shared" si="185"/>
        <v>0</v>
      </c>
      <c r="BZ97" s="66">
        <f t="shared" si="186"/>
        <v>0</v>
      </c>
      <c r="CA97" s="66"/>
      <c r="CB97" s="66">
        <f t="shared" si="187"/>
        <v>0</v>
      </c>
      <c r="CC97" s="22">
        <f t="shared" si="153"/>
        <v>0.97248915000000002</v>
      </c>
      <c r="CD97" s="66">
        <f t="shared" si="188"/>
        <v>77799132</v>
      </c>
      <c r="CE97" s="66"/>
      <c r="CF97" s="66">
        <f>+'[5]MARZO 2019'!$H$1704</f>
        <v>39433571</v>
      </c>
      <c r="CG97" s="66"/>
      <c r="CH97" s="66"/>
      <c r="CI97" s="66"/>
      <c r="CJ97" s="66"/>
      <c r="CK97" s="66"/>
      <c r="CL97" s="66"/>
      <c r="CM97" s="66"/>
      <c r="CN97" s="66"/>
      <c r="CO97" s="66"/>
      <c r="CP97" s="66"/>
      <c r="CQ97" s="66"/>
      <c r="CR97" s="66"/>
      <c r="CS97" s="66"/>
      <c r="CT97" s="66"/>
      <c r="CU97" s="66"/>
      <c r="CV97" s="66"/>
      <c r="CW97" s="66">
        <f>+'[1]OCTUBRE 2019'!$AB$5206</f>
        <v>38365561</v>
      </c>
      <c r="CX97" s="66"/>
      <c r="CY97" s="66"/>
      <c r="CZ97" s="66"/>
      <c r="DA97" s="66"/>
      <c r="DB97" s="22">
        <f t="shared" si="154"/>
        <v>2.7510849999999976E-2</v>
      </c>
      <c r="DC97" s="66">
        <f t="shared" si="189"/>
        <v>2200868</v>
      </c>
      <c r="DD97" s="66">
        <f t="shared" si="190"/>
        <v>0</v>
      </c>
      <c r="DE97" s="66">
        <f t="shared" si="191"/>
        <v>566429</v>
      </c>
      <c r="DF97" s="66"/>
      <c r="DG97" s="66">
        <f t="shared" si="192"/>
        <v>0</v>
      </c>
      <c r="DH97" s="66">
        <f t="shared" si="193"/>
        <v>0</v>
      </c>
      <c r="DI97" s="66">
        <f t="shared" si="194"/>
        <v>0</v>
      </c>
      <c r="DJ97" s="66">
        <f t="shared" si="195"/>
        <v>0</v>
      </c>
      <c r="DK97" s="66">
        <f t="shared" si="196"/>
        <v>0</v>
      </c>
      <c r="DL97" s="66">
        <f t="shared" si="197"/>
        <v>0</v>
      </c>
      <c r="DM97" s="66">
        <f t="shared" si="198"/>
        <v>0</v>
      </c>
      <c r="DN97" s="66">
        <f t="shared" si="199"/>
        <v>0</v>
      </c>
      <c r="DO97" s="66">
        <f t="shared" si="200"/>
        <v>0</v>
      </c>
      <c r="DP97" s="66">
        <f t="shared" si="201"/>
        <v>0</v>
      </c>
      <c r="DQ97" s="66">
        <f t="shared" si="202"/>
        <v>0</v>
      </c>
      <c r="DR97" s="66">
        <f t="shared" si="203"/>
        <v>0</v>
      </c>
      <c r="DS97" s="66">
        <f t="shared" si="204"/>
        <v>0</v>
      </c>
      <c r="DT97" s="66">
        <f t="shared" si="205"/>
        <v>0</v>
      </c>
      <c r="DU97" s="66">
        <f t="shared" si="206"/>
        <v>0</v>
      </c>
      <c r="DV97" s="66">
        <f t="shared" si="207"/>
        <v>1634439</v>
      </c>
      <c r="DW97" s="66">
        <f t="shared" si="208"/>
        <v>0</v>
      </c>
      <c r="DX97" s="66">
        <f t="shared" si="209"/>
        <v>0</v>
      </c>
      <c r="DY97" s="66"/>
      <c r="DZ97" s="66">
        <f t="shared" si="210"/>
        <v>0</v>
      </c>
      <c r="EB97" s="9">
        <f t="shared" si="155"/>
        <v>80000000</v>
      </c>
      <c r="EC97" s="9">
        <f t="shared" si="156"/>
        <v>80000000</v>
      </c>
      <c r="ED97" s="9">
        <f t="shared" si="157"/>
        <v>80000000</v>
      </c>
    </row>
    <row r="98" spans="1:136" ht="29.4" customHeight="1" x14ac:dyDescent="0.3">
      <c r="A98" s="218"/>
      <c r="B98" s="107" t="s">
        <v>139</v>
      </c>
      <c r="C98" s="101" t="s">
        <v>138</v>
      </c>
      <c r="D98" s="71" t="s">
        <v>137</v>
      </c>
      <c r="E98" s="87">
        <v>520</v>
      </c>
      <c r="F98" s="67" t="s">
        <v>127</v>
      </c>
      <c r="G98" s="66">
        <f t="shared" si="163"/>
        <v>15000000</v>
      </c>
      <c r="H98" s="35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99">
        <v>15000000</v>
      </c>
      <c r="Y98" s="66"/>
      <c r="Z98" s="66"/>
      <c r="AA98" s="66"/>
      <c r="AB98" s="66"/>
      <c r="AC98" s="66"/>
      <c r="AD98" s="66"/>
      <c r="AE98" s="22">
        <f t="shared" si="211"/>
        <v>0.73333333333333328</v>
      </c>
      <c r="AF98" s="66">
        <f t="shared" si="164"/>
        <v>11000000</v>
      </c>
      <c r="AG98" s="66"/>
      <c r="AH98" s="66"/>
      <c r="AI98" s="66"/>
      <c r="AJ98" s="66"/>
      <c r="AK98" s="66"/>
      <c r="AL98" s="66"/>
      <c r="AM98" s="66"/>
      <c r="AN98" s="66"/>
      <c r="AO98" s="66"/>
      <c r="AP98" s="66"/>
      <c r="AQ98" s="66"/>
      <c r="AR98" s="66"/>
      <c r="AS98" s="66"/>
      <c r="AT98" s="66"/>
      <c r="AU98" s="66"/>
      <c r="AV98" s="66"/>
      <c r="AW98" s="66">
        <f>+'[3]JULIO 2019'!$Y$3535</f>
        <v>11000000</v>
      </c>
      <c r="AX98" s="66"/>
      <c r="AY98" s="66"/>
      <c r="AZ98" s="66"/>
      <c r="BA98" s="66"/>
      <c r="BB98" s="66"/>
      <c r="BC98" s="66"/>
      <c r="BD98" s="22">
        <f t="shared" si="152"/>
        <v>0.26666666666666672</v>
      </c>
      <c r="BE98" s="66">
        <f t="shared" si="165"/>
        <v>4000000</v>
      </c>
      <c r="BF98" s="66">
        <f t="shared" si="166"/>
        <v>0</v>
      </c>
      <c r="BG98" s="66">
        <f t="shared" si="167"/>
        <v>0</v>
      </c>
      <c r="BH98" s="66">
        <f t="shared" si="168"/>
        <v>0</v>
      </c>
      <c r="BI98" s="66">
        <f t="shared" si="169"/>
        <v>0</v>
      </c>
      <c r="BJ98" s="66">
        <f t="shared" si="170"/>
        <v>0</v>
      </c>
      <c r="BK98" s="66">
        <f t="shared" si="171"/>
        <v>0</v>
      </c>
      <c r="BL98" s="66">
        <f t="shared" si="172"/>
        <v>0</v>
      </c>
      <c r="BM98" s="66">
        <f t="shared" si="173"/>
        <v>0</v>
      </c>
      <c r="BN98" s="66">
        <f t="shared" si="174"/>
        <v>0</v>
      </c>
      <c r="BO98" s="66">
        <f t="shared" si="175"/>
        <v>0</v>
      </c>
      <c r="BP98" s="66">
        <f t="shared" si="176"/>
        <v>0</v>
      </c>
      <c r="BQ98" s="66">
        <f t="shared" si="177"/>
        <v>0</v>
      </c>
      <c r="BR98" s="66">
        <f t="shared" si="178"/>
        <v>0</v>
      </c>
      <c r="BS98" s="66">
        <f t="shared" si="179"/>
        <v>0</v>
      </c>
      <c r="BT98" s="66">
        <f t="shared" si="180"/>
        <v>0</v>
      </c>
      <c r="BU98" s="66">
        <f t="shared" si="181"/>
        <v>0</v>
      </c>
      <c r="BV98" s="66">
        <f t="shared" si="182"/>
        <v>4000000</v>
      </c>
      <c r="BW98" s="66">
        <f t="shared" si="183"/>
        <v>0</v>
      </c>
      <c r="BX98" s="66">
        <f t="shared" si="184"/>
        <v>0</v>
      </c>
      <c r="BY98" s="66">
        <f t="shared" si="185"/>
        <v>0</v>
      </c>
      <c r="BZ98" s="66">
        <f t="shared" si="186"/>
        <v>0</v>
      </c>
      <c r="CA98" s="66"/>
      <c r="CB98" s="66">
        <f t="shared" si="187"/>
        <v>0</v>
      </c>
      <c r="CC98" s="22">
        <f t="shared" si="153"/>
        <v>0.73333333333333328</v>
      </c>
      <c r="CD98" s="66">
        <f t="shared" si="188"/>
        <v>11000000</v>
      </c>
      <c r="CE98" s="66"/>
      <c r="CF98" s="66"/>
      <c r="CG98" s="66"/>
      <c r="CH98" s="66"/>
      <c r="CI98" s="66"/>
      <c r="CJ98" s="66"/>
      <c r="CK98" s="66"/>
      <c r="CL98" s="66"/>
      <c r="CM98" s="66"/>
      <c r="CN98" s="66"/>
      <c r="CO98" s="66"/>
      <c r="CP98" s="66"/>
      <c r="CQ98" s="66"/>
      <c r="CR98" s="66"/>
      <c r="CS98" s="66"/>
      <c r="CT98" s="66"/>
      <c r="CU98" s="66">
        <f>+'[3]JULIO 2019'!$H$3533</f>
        <v>11000000</v>
      </c>
      <c r="CV98" s="66"/>
      <c r="CW98" s="66"/>
      <c r="CX98" s="66"/>
      <c r="CY98" s="66"/>
      <c r="CZ98" s="66"/>
      <c r="DA98" s="66"/>
      <c r="DB98" s="22">
        <f t="shared" si="154"/>
        <v>0.26666666666666672</v>
      </c>
      <c r="DC98" s="66">
        <f t="shared" si="189"/>
        <v>4000000</v>
      </c>
      <c r="DD98" s="66">
        <f t="shared" si="190"/>
        <v>0</v>
      </c>
      <c r="DE98" s="66">
        <f t="shared" si="191"/>
        <v>0</v>
      </c>
      <c r="DF98" s="66"/>
      <c r="DG98" s="66">
        <f t="shared" si="192"/>
        <v>0</v>
      </c>
      <c r="DH98" s="66">
        <f t="shared" si="193"/>
        <v>0</v>
      </c>
      <c r="DI98" s="66">
        <f t="shared" si="194"/>
        <v>0</v>
      </c>
      <c r="DJ98" s="66">
        <f t="shared" si="195"/>
        <v>0</v>
      </c>
      <c r="DK98" s="66">
        <f t="shared" si="196"/>
        <v>0</v>
      </c>
      <c r="DL98" s="66">
        <f t="shared" si="197"/>
        <v>0</v>
      </c>
      <c r="DM98" s="66">
        <f t="shared" si="198"/>
        <v>0</v>
      </c>
      <c r="DN98" s="66">
        <f t="shared" si="199"/>
        <v>0</v>
      </c>
      <c r="DO98" s="66">
        <f t="shared" si="200"/>
        <v>0</v>
      </c>
      <c r="DP98" s="66">
        <f t="shared" si="201"/>
        <v>0</v>
      </c>
      <c r="DQ98" s="66">
        <f t="shared" si="202"/>
        <v>0</v>
      </c>
      <c r="DR98" s="66">
        <f t="shared" si="203"/>
        <v>0</v>
      </c>
      <c r="DS98" s="66">
        <f t="shared" si="204"/>
        <v>0</v>
      </c>
      <c r="DT98" s="66">
        <f t="shared" si="205"/>
        <v>4000000</v>
      </c>
      <c r="DU98" s="66">
        <f t="shared" si="206"/>
        <v>0</v>
      </c>
      <c r="DV98" s="66">
        <f t="shared" si="207"/>
        <v>0</v>
      </c>
      <c r="DW98" s="66">
        <f t="shared" si="208"/>
        <v>0</v>
      </c>
      <c r="DX98" s="66">
        <f t="shared" si="209"/>
        <v>0</v>
      </c>
      <c r="DY98" s="66"/>
      <c r="DZ98" s="66">
        <f t="shared" si="210"/>
        <v>0</v>
      </c>
      <c r="EB98" s="9">
        <f t="shared" si="155"/>
        <v>15000000</v>
      </c>
      <c r="EC98" s="9">
        <f t="shared" si="156"/>
        <v>15000000</v>
      </c>
      <c r="ED98" s="9">
        <f t="shared" si="157"/>
        <v>15000000</v>
      </c>
    </row>
    <row r="99" spans="1:136" ht="19.8" customHeight="1" x14ac:dyDescent="0.3">
      <c r="A99" s="218"/>
      <c r="B99" s="91" t="s">
        <v>136</v>
      </c>
      <c r="C99" s="101" t="s">
        <v>135</v>
      </c>
      <c r="D99" s="107" t="s">
        <v>134</v>
      </c>
      <c r="E99" s="87">
        <v>520</v>
      </c>
      <c r="F99" s="103" t="s">
        <v>127</v>
      </c>
      <c r="G99" s="66">
        <f t="shared" si="163"/>
        <v>50000000</v>
      </c>
      <c r="H99" s="35"/>
      <c r="I99" s="66">
        <v>50000000</v>
      </c>
      <c r="J99" s="99"/>
      <c r="K99" s="99"/>
      <c r="L99" s="50"/>
      <c r="M99" s="99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99"/>
      <c r="Y99" s="66"/>
      <c r="Z99" s="66"/>
      <c r="AA99" s="35"/>
      <c r="AB99" s="35"/>
      <c r="AC99" s="35"/>
      <c r="AD99" s="106"/>
      <c r="AE99" s="22">
        <f t="shared" si="211"/>
        <v>0.96</v>
      </c>
      <c r="AF99" s="66">
        <f t="shared" si="164"/>
        <v>48000000</v>
      </c>
      <c r="AG99" s="66"/>
      <c r="AH99" s="66">
        <f>+'[4]JUNIO 2019'!$K$2854</f>
        <v>48000000</v>
      </c>
      <c r="AI99" s="66"/>
      <c r="AJ99" s="66"/>
      <c r="AK99" s="66"/>
      <c r="AL99" s="66"/>
      <c r="AM99" s="66"/>
      <c r="AN99" s="66"/>
      <c r="AO99" s="66"/>
      <c r="AP99" s="66"/>
      <c r="AQ99" s="66"/>
      <c r="AR99" s="66"/>
      <c r="AS99" s="66"/>
      <c r="AT99" s="66"/>
      <c r="AU99" s="66"/>
      <c r="AV99" s="66"/>
      <c r="AW99" s="66"/>
      <c r="AX99" s="66"/>
      <c r="AY99" s="66"/>
      <c r="AZ99" s="66"/>
      <c r="BA99" s="66"/>
      <c r="BB99" s="66"/>
      <c r="BC99" s="66"/>
      <c r="BD99" s="22">
        <f t="shared" si="152"/>
        <v>4.0000000000000036E-2</v>
      </c>
      <c r="BE99" s="66">
        <f t="shared" si="165"/>
        <v>2000000</v>
      </c>
      <c r="BF99" s="66">
        <f t="shared" si="166"/>
        <v>0</v>
      </c>
      <c r="BG99" s="66">
        <f t="shared" si="167"/>
        <v>2000000</v>
      </c>
      <c r="BH99" s="66">
        <f t="shared" si="168"/>
        <v>0</v>
      </c>
      <c r="BI99" s="66">
        <f t="shared" si="169"/>
        <v>0</v>
      </c>
      <c r="BJ99" s="66">
        <f t="shared" si="170"/>
        <v>0</v>
      </c>
      <c r="BK99" s="66">
        <f t="shared" si="171"/>
        <v>0</v>
      </c>
      <c r="BL99" s="66">
        <f t="shared" si="172"/>
        <v>0</v>
      </c>
      <c r="BM99" s="66">
        <f t="shared" si="173"/>
        <v>0</v>
      </c>
      <c r="BN99" s="66">
        <f t="shared" si="174"/>
        <v>0</v>
      </c>
      <c r="BO99" s="66">
        <f t="shared" si="175"/>
        <v>0</v>
      </c>
      <c r="BP99" s="66">
        <f t="shared" si="176"/>
        <v>0</v>
      </c>
      <c r="BQ99" s="66">
        <f t="shared" si="177"/>
        <v>0</v>
      </c>
      <c r="BR99" s="66">
        <f t="shared" si="178"/>
        <v>0</v>
      </c>
      <c r="BS99" s="66">
        <f t="shared" si="179"/>
        <v>0</v>
      </c>
      <c r="BT99" s="66">
        <f t="shared" si="180"/>
        <v>0</v>
      </c>
      <c r="BU99" s="66">
        <f t="shared" si="181"/>
        <v>0</v>
      </c>
      <c r="BV99" s="66">
        <f t="shared" si="182"/>
        <v>0</v>
      </c>
      <c r="BW99" s="66">
        <f t="shared" si="183"/>
        <v>0</v>
      </c>
      <c r="BX99" s="66">
        <f t="shared" si="184"/>
        <v>0</v>
      </c>
      <c r="BY99" s="66">
        <f t="shared" si="185"/>
        <v>0</v>
      </c>
      <c r="BZ99" s="66">
        <f t="shared" si="186"/>
        <v>0</v>
      </c>
      <c r="CA99" s="66"/>
      <c r="CB99" s="66">
        <f t="shared" si="187"/>
        <v>0</v>
      </c>
      <c r="CC99" s="22">
        <f t="shared" si="153"/>
        <v>0.96</v>
      </c>
      <c r="CD99" s="66">
        <f t="shared" si="188"/>
        <v>48000000</v>
      </c>
      <c r="CE99" s="66"/>
      <c r="CF99" s="66">
        <f>+'[3]JULIO 2019'!$H$3541</f>
        <v>48000000</v>
      </c>
      <c r="CG99" s="66"/>
      <c r="CH99" s="66"/>
      <c r="CI99" s="66"/>
      <c r="CJ99" s="66"/>
      <c r="CK99" s="66"/>
      <c r="CL99" s="66"/>
      <c r="CM99" s="66"/>
      <c r="CN99" s="66"/>
      <c r="CO99" s="66"/>
      <c r="CP99" s="66"/>
      <c r="CQ99" s="66"/>
      <c r="CR99" s="66"/>
      <c r="CS99" s="66"/>
      <c r="CT99" s="66"/>
      <c r="CU99" s="66"/>
      <c r="CV99" s="66"/>
      <c r="CW99" s="66"/>
      <c r="CX99" s="66"/>
      <c r="CY99" s="66"/>
      <c r="CZ99" s="66"/>
      <c r="DA99" s="66"/>
      <c r="DB99" s="22">
        <f t="shared" si="154"/>
        <v>4.0000000000000036E-2</v>
      </c>
      <c r="DC99" s="66">
        <f t="shared" si="189"/>
        <v>2000000</v>
      </c>
      <c r="DD99" s="66">
        <f t="shared" si="190"/>
        <v>0</v>
      </c>
      <c r="DE99" s="66">
        <f t="shared" si="191"/>
        <v>2000000</v>
      </c>
      <c r="DF99" s="66"/>
      <c r="DG99" s="66">
        <f t="shared" si="192"/>
        <v>0</v>
      </c>
      <c r="DH99" s="66">
        <f t="shared" si="193"/>
        <v>0</v>
      </c>
      <c r="DI99" s="66">
        <f t="shared" si="194"/>
        <v>0</v>
      </c>
      <c r="DJ99" s="66">
        <f t="shared" si="195"/>
        <v>0</v>
      </c>
      <c r="DK99" s="66">
        <f t="shared" si="196"/>
        <v>0</v>
      </c>
      <c r="DL99" s="66">
        <f t="shared" si="197"/>
        <v>0</v>
      </c>
      <c r="DM99" s="66">
        <f t="shared" si="198"/>
        <v>0</v>
      </c>
      <c r="DN99" s="66">
        <f t="shared" si="199"/>
        <v>0</v>
      </c>
      <c r="DO99" s="66">
        <f t="shared" si="200"/>
        <v>0</v>
      </c>
      <c r="DP99" s="66">
        <f t="shared" si="201"/>
        <v>0</v>
      </c>
      <c r="DQ99" s="66">
        <f t="shared" si="202"/>
        <v>0</v>
      </c>
      <c r="DR99" s="66">
        <f t="shared" si="203"/>
        <v>0</v>
      </c>
      <c r="DS99" s="66">
        <f t="shared" si="204"/>
        <v>0</v>
      </c>
      <c r="DT99" s="66">
        <f t="shared" si="205"/>
        <v>0</v>
      </c>
      <c r="DU99" s="66">
        <f t="shared" si="206"/>
        <v>0</v>
      </c>
      <c r="DV99" s="66">
        <f t="shared" si="207"/>
        <v>0</v>
      </c>
      <c r="DW99" s="66">
        <f t="shared" si="208"/>
        <v>0</v>
      </c>
      <c r="DX99" s="66">
        <f t="shared" si="209"/>
        <v>0</v>
      </c>
      <c r="DY99" s="66"/>
      <c r="DZ99" s="66">
        <f t="shared" si="210"/>
        <v>0</v>
      </c>
      <c r="EB99" s="9">
        <f t="shared" si="155"/>
        <v>50000000</v>
      </c>
      <c r="EC99" s="9">
        <f t="shared" si="156"/>
        <v>50000000</v>
      </c>
      <c r="ED99" s="9">
        <f t="shared" si="157"/>
        <v>50000000</v>
      </c>
    </row>
    <row r="100" spans="1:136" s="76" customFormat="1" ht="22.8" customHeight="1" x14ac:dyDescent="0.3">
      <c r="A100" s="218" t="s">
        <v>133</v>
      </c>
      <c r="B100" s="219" t="s">
        <v>132</v>
      </c>
      <c r="C100" s="105" t="s">
        <v>131</v>
      </c>
      <c r="D100" s="71" t="s">
        <v>130</v>
      </c>
      <c r="E100" s="104">
        <v>520</v>
      </c>
      <c r="F100" s="103" t="s">
        <v>127</v>
      </c>
      <c r="G100" s="66">
        <f t="shared" si="163"/>
        <v>0</v>
      </c>
      <c r="H100" s="35"/>
      <c r="I100" s="66"/>
      <c r="J100" s="66"/>
      <c r="K100" s="66"/>
      <c r="L100" s="35"/>
      <c r="M100" s="66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99">
        <f>5000000-5000000</f>
        <v>0</v>
      </c>
      <c r="Y100" s="66"/>
      <c r="Z100" s="66"/>
      <c r="AA100" s="66"/>
      <c r="AB100" s="66"/>
      <c r="AC100" s="66"/>
      <c r="AD100" s="66"/>
      <c r="AE100" s="77" t="e">
        <f t="shared" si="211"/>
        <v>#DIV/0!</v>
      </c>
      <c r="AF100" s="66">
        <f t="shared" si="164"/>
        <v>0</v>
      </c>
      <c r="AG100" s="75"/>
      <c r="AH100" s="75"/>
      <c r="AI100" s="75"/>
      <c r="AJ100" s="75"/>
      <c r="AK100" s="75"/>
      <c r="AL100" s="75"/>
      <c r="AM100" s="66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  <c r="AY100" s="75"/>
      <c r="AZ100" s="75"/>
      <c r="BA100" s="75"/>
      <c r="BB100" s="75"/>
      <c r="BC100" s="75"/>
      <c r="BD100" s="77" t="e">
        <f t="shared" ref="BD100:BD131" si="212">1-AE100</f>
        <v>#DIV/0!</v>
      </c>
      <c r="BE100" s="66">
        <f t="shared" si="165"/>
        <v>0</v>
      </c>
      <c r="BF100" s="66">
        <f t="shared" si="166"/>
        <v>0</v>
      </c>
      <c r="BG100" s="66">
        <f t="shared" si="167"/>
        <v>0</v>
      </c>
      <c r="BH100" s="66">
        <f t="shared" si="168"/>
        <v>0</v>
      </c>
      <c r="BI100" s="66">
        <f t="shared" si="169"/>
        <v>0</v>
      </c>
      <c r="BJ100" s="66">
        <f t="shared" si="170"/>
        <v>0</v>
      </c>
      <c r="BK100" s="66">
        <f t="shared" si="171"/>
        <v>0</v>
      </c>
      <c r="BL100" s="66">
        <f t="shared" si="172"/>
        <v>0</v>
      </c>
      <c r="BM100" s="66">
        <f t="shared" si="173"/>
        <v>0</v>
      </c>
      <c r="BN100" s="66">
        <f t="shared" si="174"/>
        <v>0</v>
      </c>
      <c r="BO100" s="66">
        <f t="shared" si="175"/>
        <v>0</v>
      </c>
      <c r="BP100" s="66">
        <f t="shared" si="176"/>
        <v>0</v>
      </c>
      <c r="BQ100" s="66">
        <f t="shared" si="177"/>
        <v>0</v>
      </c>
      <c r="BR100" s="66">
        <f t="shared" si="178"/>
        <v>0</v>
      </c>
      <c r="BS100" s="66">
        <f t="shared" si="179"/>
        <v>0</v>
      </c>
      <c r="BT100" s="66">
        <f t="shared" si="180"/>
        <v>0</v>
      </c>
      <c r="BU100" s="66">
        <f t="shared" si="181"/>
        <v>0</v>
      </c>
      <c r="BV100" s="66">
        <f t="shared" si="182"/>
        <v>0</v>
      </c>
      <c r="BW100" s="66">
        <f t="shared" si="183"/>
        <v>0</v>
      </c>
      <c r="BX100" s="66">
        <f t="shared" si="184"/>
        <v>0</v>
      </c>
      <c r="BY100" s="66">
        <f t="shared" si="185"/>
        <v>0</v>
      </c>
      <c r="BZ100" s="66">
        <f t="shared" si="186"/>
        <v>0</v>
      </c>
      <c r="CA100" s="66"/>
      <c r="CB100" s="66">
        <f t="shared" si="187"/>
        <v>0</v>
      </c>
      <c r="CC100" s="77" t="e">
        <f t="shared" ref="CC100:CC107" si="213">+CD100/G100</f>
        <v>#DIV/0!</v>
      </c>
      <c r="CD100" s="66">
        <f t="shared" si="188"/>
        <v>0</v>
      </c>
      <c r="CE100" s="75"/>
      <c r="CF100" s="75"/>
      <c r="CG100" s="75"/>
      <c r="CH100" s="75"/>
      <c r="CI100" s="75"/>
      <c r="CJ100" s="75"/>
      <c r="CK100" s="75"/>
      <c r="CL100" s="75"/>
      <c r="CM100" s="75"/>
      <c r="CN100" s="75"/>
      <c r="CO100" s="75"/>
      <c r="CP100" s="75"/>
      <c r="CQ100" s="75"/>
      <c r="CR100" s="75"/>
      <c r="CS100" s="75"/>
      <c r="CT100" s="75"/>
      <c r="CU100" s="75"/>
      <c r="CV100" s="75"/>
      <c r="CW100" s="75"/>
      <c r="CX100" s="75"/>
      <c r="CY100" s="75"/>
      <c r="CZ100" s="75"/>
      <c r="DA100" s="75"/>
      <c r="DB100" s="77" t="e">
        <f t="shared" ref="DB100:DB131" si="214">1-CC100</f>
        <v>#DIV/0!</v>
      </c>
      <c r="DC100" s="66">
        <f t="shared" si="189"/>
        <v>0</v>
      </c>
      <c r="DD100" s="66">
        <f t="shared" si="190"/>
        <v>0</v>
      </c>
      <c r="DE100" s="66">
        <f t="shared" si="191"/>
        <v>0</v>
      </c>
      <c r="DF100" s="66"/>
      <c r="DG100" s="66">
        <f t="shared" si="192"/>
        <v>0</v>
      </c>
      <c r="DH100" s="66">
        <f t="shared" si="193"/>
        <v>0</v>
      </c>
      <c r="DI100" s="66">
        <f t="shared" si="194"/>
        <v>0</v>
      </c>
      <c r="DJ100" s="66">
        <f t="shared" si="195"/>
        <v>0</v>
      </c>
      <c r="DK100" s="66">
        <f t="shared" si="196"/>
        <v>0</v>
      </c>
      <c r="DL100" s="66">
        <f t="shared" si="197"/>
        <v>0</v>
      </c>
      <c r="DM100" s="66">
        <f t="shared" si="198"/>
        <v>0</v>
      </c>
      <c r="DN100" s="66">
        <f t="shared" si="199"/>
        <v>0</v>
      </c>
      <c r="DO100" s="66">
        <f t="shared" si="200"/>
        <v>0</v>
      </c>
      <c r="DP100" s="66">
        <f t="shared" si="201"/>
        <v>0</v>
      </c>
      <c r="DQ100" s="66">
        <f t="shared" si="202"/>
        <v>0</v>
      </c>
      <c r="DR100" s="66">
        <f t="shared" si="203"/>
        <v>0</v>
      </c>
      <c r="DS100" s="66">
        <f t="shared" si="204"/>
        <v>0</v>
      </c>
      <c r="DT100" s="66">
        <f t="shared" si="205"/>
        <v>0</v>
      </c>
      <c r="DU100" s="66">
        <f t="shared" si="206"/>
        <v>0</v>
      </c>
      <c r="DV100" s="66">
        <f t="shared" si="207"/>
        <v>0</v>
      </c>
      <c r="DW100" s="66">
        <f t="shared" si="208"/>
        <v>0</v>
      </c>
      <c r="DX100" s="66">
        <f t="shared" si="209"/>
        <v>0</v>
      </c>
      <c r="DY100" s="66"/>
      <c r="DZ100" s="66">
        <f t="shared" si="210"/>
        <v>0</v>
      </c>
      <c r="EB100" s="9">
        <f t="shared" ref="EB100:EB131" si="215">+G100</f>
        <v>0</v>
      </c>
      <c r="EC100" s="9">
        <f t="shared" ref="EC100:EC131" si="216">+AF100+BE100</f>
        <v>0</v>
      </c>
      <c r="ED100" s="9">
        <f t="shared" ref="ED100:ED131" si="217">+CD100+DC100</f>
        <v>0</v>
      </c>
    </row>
    <row r="101" spans="1:136" s="76" customFormat="1" ht="45.6" customHeight="1" x14ac:dyDescent="0.3">
      <c r="A101" s="218"/>
      <c r="B101" s="220"/>
      <c r="C101" s="105" t="s">
        <v>129</v>
      </c>
      <c r="D101" s="71" t="s">
        <v>128</v>
      </c>
      <c r="E101" s="104">
        <v>520</v>
      </c>
      <c r="F101" s="103" t="s">
        <v>127</v>
      </c>
      <c r="G101" s="66">
        <f t="shared" si="163"/>
        <v>114000000</v>
      </c>
      <c r="H101" s="35"/>
      <c r="I101" s="66"/>
      <c r="J101" s="99"/>
      <c r="K101" s="66">
        <v>114000000</v>
      </c>
      <c r="L101" s="50"/>
      <c r="M101" s="99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99">
        <f>10000000-10000000</f>
        <v>0</v>
      </c>
      <c r="Y101" s="66"/>
      <c r="Z101" s="66"/>
      <c r="AA101" s="66"/>
      <c r="AB101" s="66"/>
      <c r="AC101" s="66"/>
      <c r="AD101" s="66"/>
      <c r="AE101" s="77">
        <f t="shared" si="211"/>
        <v>0</v>
      </c>
      <c r="AF101" s="66">
        <f t="shared" si="164"/>
        <v>0</v>
      </c>
      <c r="AG101" s="75"/>
      <c r="AH101" s="75"/>
      <c r="AI101" s="75"/>
      <c r="AJ101" s="75"/>
      <c r="AK101" s="75"/>
      <c r="AL101" s="75"/>
      <c r="AM101" s="66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7">
        <f t="shared" si="212"/>
        <v>1</v>
      </c>
      <c r="BE101" s="66">
        <f t="shared" si="165"/>
        <v>114000000</v>
      </c>
      <c r="BF101" s="66"/>
      <c r="BG101" s="66"/>
      <c r="BH101" s="66"/>
      <c r="BI101" s="66">
        <f t="shared" si="169"/>
        <v>114000000</v>
      </c>
      <c r="BJ101" s="66"/>
      <c r="BK101" s="66"/>
      <c r="BL101" s="66"/>
      <c r="BM101" s="66"/>
      <c r="BN101" s="66"/>
      <c r="BO101" s="66"/>
      <c r="BP101" s="66"/>
      <c r="BQ101" s="66"/>
      <c r="BR101" s="66"/>
      <c r="BS101" s="66"/>
      <c r="BT101" s="66"/>
      <c r="BU101" s="66"/>
      <c r="BV101" s="66">
        <f>X101-AW101</f>
        <v>0</v>
      </c>
      <c r="BW101" s="66"/>
      <c r="BX101" s="66"/>
      <c r="BY101" s="66"/>
      <c r="BZ101" s="66"/>
      <c r="CA101" s="66"/>
      <c r="CB101" s="66"/>
      <c r="CC101" s="77">
        <f t="shared" si="213"/>
        <v>0</v>
      </c>
      <c r="CD101" s="66">
        <f t="shared" si="188"/>
        <v>0</v>
      </c>
      <c r="CE101" s="75"/>
      <c r="CF101" s="75"/>
      <c r="CG101" s="75"/>
      <c r="CH101" s="75"/>
      <c r="CI101" s="75"/>
      <c r="CJ101" s="75"/>
      <c r="CK101" s="75"/>
      <c r="CL101" s="75"/>
      <c r="CM101" s="75"/>
      <c r="CN101" s="75"/>
      <c r="CO101" s="75"/>
      <c r="CP101" s="75"/>
      <c r="CQ101" s="75"/>
      <c r="CR101" s="75"/>
      <c r="CS101" s="75"/>
      <c r="CT101" s="75"/>
      <c r="CU101" s="75"/>
      <c r="CV101" s="75"/>
      <c r="CW101" s="75"/>
      <c r="CX101" s="75"/>
      <c r="CY101" s="75"/>
      <c r="CZ101" s="75"/>
      <c r="DA101" s="75"/>
      <c r="DB101" s="77">
        <f t="shared" si="214"/>
        <v>1</v>
      </c>
      <c r="DC101" s="66">
        <f t="shared" si="189"/>
        <v>114000000</v>
      </c>
      <c r="DD101" s="66">
        <f t="shared" si="190"/>
        <v>0</v>
      </c>
      <c r="DE101" s="66">
        <f t="shared" si="191"/>
        <v>0</v>
      </c>
      <c r="DF101" s="66"/>
      <c r="DG101" s="66">
        <f t="shared" si="192"/>
        <v>114000000</v>
      </c>
      <c r="DH101" s="66">
        <f t="shared" si="193"/>
        <v>0</v>
      </c>
      <c r="DI101" s="66">
        <f t="shared" si="194"/>
        <v>0</v>
      </c>
      <c r="DJ101" s="66">
        <f t="shared" si="195"/>
        <v>0</v>
      </c>
      <c r="DK101" s="66">
        <f t="shared" si="196"/>
        <v>0</v>
      </c>
      <c r="DL101" s="66">
        <f t="shared" si="197"/>
        <v>0</v>
      </c>
      <c r="DM101" s="66">
        <f t="shared" si="198"/>
        <v>0</v>
      </c>
      <c r="DN101" s="66">
        <f t="shared" si="199"/>
        <v>0</v>
      </c>
      <c r="DO101" s="66">
        <f t="shared" si="200"/>
        <v>0</v>
      </c>
      <c r="DP101" s="66">
        <f t="shared" si="201"/>
        <v>0</v>
      </c>
      <c r="DQ101" s="66">
        <f t="shared" si="202"/>
        <v>0</v>
      </c>
      <c r="DR101" s="66">
        <f t="shared" si="203"/>
        <v>0</v>
      </c>
      <c r="DS101" s="66">
        <f t="shared" si="204"/>
        <v>0</v>
      </c>
      <c r="DT101" s="66">
        <f t="shared" si="205"/>
        <v>0</v>
      </c>
      <c r="DU101" s="66">
        <f t="shared" si="206"/>
        <v>0</v>
      </c>
      <c r="DV101" s="66">
        <f t="shared" si="207"/>
        <v>0</v>
      </c>
      <c r="DW101" s="66">
        <f t="shared" si="208"/>
        <v>0</v>
      </c>
      <c r="DX101" s="66">
        <f t="shared" si="209"/>
        <v>0</v>
      </c>
      <c r="DY101" s="66"/>
      <c r="DZ101" s="66">
        <f t="shared" si="210"/>
        <v>0</v>
      </c>
      <c r="EB101" s="9">
        <f t="shared" si="215"/>
        <v>114000000</v>
      </c>
      <c r="EC101" s="9">
        <f t="shared" si="216"/>
        <v>114000000</v>
      </c>
      <c r="ED101" s="9">
        <f t="shared" si="217"/>
        <v>114000000</v>
      </c>
    </row>
    <row r="102" spans="1:136" ht="27" customHeight="1" x14ac:dyDescent="0.3">
      <c r="A102" s="218"/>
      <c r="B102" s="81" t="s">
        <v>126</v>
      </c>
      <c r="C102" s="101" t="s">
        <v>125</v>
      </c>
      <c r="D102" s="71" t="s">
        <v>124</v>
      </c>
      <c r="E102" s="87">
        <v>520</v>
      </c>
      <c r="F102" s="103" t="s">
        <v>123</v>
      </c>
      <c r="G102" s="66">
        <f t="shared" si="163"/>
        <v>326988146</v>
      </c>
      <c r="H102" s="35"/>
      <c r="I102" s="66">
        <v>200000000</v>
      </c>
      <c r="J102" s="99"/>
      <c r="K102" s="99"/>
      <c r="L102" s="99"/>
      <c r="M102" s="99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99"/>
      <c r="Y102" s="66">
        <v>50000000</v>
      </c>
      <c r="Z102" s="66">
        <f>10000000+30000000+20000000</f>
        <v>60000000</v>
      </c>
      <c r="AA102" s="66"/>
      <c r="AB102" s="66"/>
      <c r="AC102" s="66"/>
      <c r="AD102" s="66">
        <f>8000000+8988146</f>
        <v>16988146</v>
      </c>
      <c r="AE102" s="22">
        <f t="shared" si="211"/>
        <v>0.91156760771382828</v>
      </c>
      <c r="AF102" s="66">
        <f t="shared" si="164"/>
        <v>298071802</v>
      </c>
      <c r="AG102" s="66"/>
      <c r="AH102" s="66">
        <f>+'[1]OCTUBRE 2019'!$K$5274</f>
        <v>194283656</v>
      </c>
      <c r="AI102" s="66"/>
      <c r="AJ102" s="66"/>
      <c r="AK102" s="66"/>
      <c r="AL102" s="66"/>
      <c r="AM102" s="66"/>
      <c r="AN102" s="66"/>
      <c r="AO102" s="66"/>
      <c r="AP102" s="66"/>
      <c r="AQ102" s="66"/>
      <c r="AR102" s="66"/>
      <c r="AS102" s="66"/>
      <c r="AT102" s="66"/>
      <c r="AU102" s="66"/>
      <c r="AV102" s="66"/>
      <c r="AW102" s="66"/>
      <c r="AX102" s="66">
        <f>+'[4]JUNIO 2019'!$Z$2879</f>
        <v>50000000</v>
      </c>
      <c r="AY102" s="66">
        <f>+'[1]OCTUBRE 2019'!$AB$5274</f>
        <v>36800000</v>
      </c>
      <c r="AZ102" s="66"/>
      <c r="BA102" s="66"/>
      <c r="BB102" s="66"/>
      <c r="BC102" s="66">
        <f>+'[3]JULIO 2019'!$AF$3568</f>
        <v>16988146</v>
      </c>
      <c r="BD102" s="22">
        <f t="shared" si="212"/>
        <v>8.8432392286171724E-2</v>
      </c>
      <c r="BE102" s="66">
        <f t="shared" si="165"/>
        <v>28916344</v>
      </c>
      <c r="BF102" s="66">
        <f t="shared" ref="BF102:BH103" si="218">H102-AG102</f>
        <v>0</v>
      </c>
      <c r="BG102" s="66">
        <f t="shared" si="218"/>
        <v>5716344</v>
      </c>
      <c r="BH102" s="66">
        <f t="shared" si="218"/>
        <v>0</v>
      </c>
      <c r="BI102" s="66">
        <f t="shared" si="169"/>
        <v>0</v>
      </c>
      <c r="BJ102" s="66">
        <f t="shared" ref="BJ102:BU103" si="219">L102-AK102</f>
        <v>0</v>
      </c>
      <c r="BK102" s="66">
        <f t="shared" si="219"/>
        <v>0</v>
      </c>
      <c r="BL102" s="66">
        <f t="shared" si="219"/>
        <v>0</v>
      </c>
      <c r="BM102" s="66">
        <f t="shared" si="219"/>
        <v>0</v>
      </c>
      <c r="BN102" s="66">
        <f t="shared" si="219"/>
        <v>0</v>
      </c>
      <c r="BO102" s="66">
        <f t="shared" si="219"/>
        <v>0</v>
      </c>
      <c r="BP102" s="66">
        <f t="shared" si="219"/>
        <v>0</v>
      </c>
      <c r="BQ102" s="66">
        <f t="shared" si="219"/>
        <v>0</v>
      </c>
      <c r="BR102" s="66">
        <f t="shared" si="219"/>
        <v>0</v>
      </c>
      <c r="BS102" s="66">
        <f t="shared" si="219"/>
        <v>0</v>
      </c>
      <c r="BT102" s="66">
        <f t="shared" si="219"/>
        <v>0</v>
      </c>
      <c r="BU102" s="66">
        <f t="shared" si="219"/>
        <v>0</v>
      </c>
      <c r="BV102" s="66">
        <f>X102-AW102</f>
        <v>0</v>
      </c>
      <c r="BW102" s="66">
        <f t="shared" ref="BW102:BZ103" si="220">Y102-AX102</f>
        <v>0</v>
      </c>
      <c r="BX102" s="66">
        <f t="shared" si="220"/>
        <v>23200000</v>
      </c>
      <c r="BY102" s="66">
        <f t="shared" si="220"/>
        <v>0</v>
      </c>
      <c r="BZ102" s="66">
        <f t="shared" si="220"/>
        <v>0</v>
      </c>
      <c r="CA102" s="66"/>
      <c r="CB102" s="66">
        <f>AD102-BC102</f>
        <v>0</v>
      </c>
      <c r="CC102" s="22">
        <f t="shared" si="213"/>
        <v>0.88582378151408581</v>
      </c>
      <c r="CD102" s="66">
        <f t="shared" si="188"/>
        <v>289653876</v>
      </c>
      <c r="CE102" s="66"/>
      <c r="CF102" s="66">
        <f>+'[1]OCTUBRE 2019'!$H$5275+'[1]OCTUBRE 2019'!$H$5294+'[1]OCTUBRE 2019'!$H$5301+'[1]OCTUBRE 2019'!$H$5305+'[1]OCTUBRE 2019'!$H$5307+'[1]OCTUBRE 2019'!$H$5309+'[1]OCTUBRE 2019'!$H$5311+'[1]OCTUBRE 2019'!$H$5325</f>
        <v>193477218</v>
      </c>
      <c r="CG102" s="66"/>
      <c r="CH102" s="66"/>
      <c r="CI102" s="66"/>
      <c r="CJ102" s="66"/>
      <c r="CK102" s="66"/>
      <c r="CL102" s="66"/>
      <c r="CM102" s="66"/>
      <c r="CN102" s="66"/>
      <c r="CO102" s="66"/>
      <c r="CP102" s="66"/>
      <c r="CQ102" s="66"/>
      <c r="CR102" s="66"/>
      <c r="CS102" s="66"/>
      <c r="CT102" s="66"/>
      <c r="CU102" s="66"/>
      <c r="CV102" s="66">
        <f>+'[1]OCTUBRE 2019'!$H$5315+'[1]OCTUBRE 2019'!$H$5316</f>
        <v>49996663</v>
      </c>
      <c r="CW102" s="66">
        <f>+'[1]OCTUBRE 2019'!$H$5332+'[1]OCTUBRE 2019'!$H$5335</f>
        <v>29529995</v>
      </c>
      <c r="CX102" s="66"/>
      <c r="CY102" s="66"/>
      <c r="CZ102" s="66"/>
      <c r="DA102" s="66">
        <f>'[1]OCTUBRE 2019'!$H$5272-CW102-CV102-CF102</f>
        <v>16650000</v>
      </c>
      <c r="DB102" s="77">
        <f t="shared" si="214"/>
        <v>0.11417621848591419</v>
      </c>
      <c r="DC102" s="66">
        <f t="shared" si="189"/>
        <v>37334270</v>
      </c>
      <c r="DD102" s="66">
        <f t="shared" si="190"/>
        <v>0</v>
      </c>
      <c r="DE102" s="66">
        <f t="shared" si="191"/>
        <v>6522782</v>
      </c>
      <c r="DF102" s="66"/>
      <c r="DG102" s="66">
        <f t="shared" si="192"/>
        <v>0</v>
      </c>
      <c r="DH102" s="66">
        <f t="shared" si="193"/>
        <v>0</v>
      </c>
      <c r="DI102" s="66">
        <f t="shared" si="194"/>
        <v>0</v>
      </c>
      <c r="DJ102" s="66">
        <f t="shared" si="195"/>
        <v>0</v>
      </c>
      <c r="DK102" s="66">
        <f t="shared" si="196"/>
        <v>0</v>
      </c>
      <c r="DL102" s="66">
        <f t="shared" si="197"/>
        <v>0</v>
      </c>
      <c r="DM102" s="66">
        <f t="shared" si="198"/>
        <v>0</v>
      </c>
      <c r="DN102" s="66">
        <f t="shared" si="199"/>
        <v>0</v>
      </c>
      <c r="DO102" s="66">
        <f t="shared" si="200"/>
        <v>0</v>
      </c>
      <c r="DP102" s="66">
        <f t="shared" si="201"/>
        <v>0</v>
      </c>
      <c r="DQ102" s="66">
        <f t="shared" si="202"/>
        <v>0</v>
      </c>
      <c r="DR102" s="66">
        <f t="shared" si="203"/>
        <v>0</v>
      </c>
      <c r="DS102" s="66">
        <f t="shared" si="204"/>
        <v>0</v>
      </c>
      <c r="DT102" s="66">
        <f t="shared" si="205"/>
        <v>0</v>
      </c>
      <c r="DU102" s="66">
        <f t="shared" si="206"/>
        <v>3337</v>
      </c>
      <c r="DV102" s="66">
        <f t="shared" si="207"/>
        <v>30470005</v>
      </c>
      <c r="DW102" s="66">
        <f t="shared" si="208"/>
        <v>0</v>
      </c>
      <c r="DX102" s="66">
        <f t="shared" si="209"/>
        <v>0</v>
      </c>
      <c r="DY102" s="66"/>
      <c r="DZ102" s="66">
        <f t="shared" si="210"/>
        <v>338146</v>
      </c>
      <c r="EB102" s="9">
        <f t="shared" si="215"/>
        <v>326988146</v>
      </c>
      <c r="EC102" s="9">
        <f t="shared" si="216"/>
        <v>326988146</v>
      </c>
      <c r="ED102" s="9">
        <f t="shared" si="217"/>
        <v>326988146</v>
      </c>
      <c r="EE102" s="4"/>
    </row>
    <row r="103" spans="1:136" ht="34.200000000000003" customHeight="1" x14ac:dyDescent="0.3">
      <c r="A103" s="218"/>
      <c r="B103" s="102"/>
      <c r="C103" s="101" t="s">
        <v>122</v>
      </c>
      <c r="D103" s="71" t="s">
        <v>121</v>
      </c>
      <c r="E103" s="87">
        <v>520</v>
      </c>
      <c r="F103" s="67" t="s">
        <v>120</v>
      </c>
      <c r="G103" s="66">
        <f t="shared" si="163"/>
        <v>96500718</v>
      </c>
      <c r="H103" s="35"/>
      <c r="I103" s="66"/>
      <c r="J103" s="99"/>
      <c r="K103" s="99"/>
      <c r="L103" s="50"/>
      <c r="M103" s="99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99"/>
      <c r="Y103" s="66"/>
      <c r="Z103" s="66"/>
      <c r="AA103" s="66"/>
      <c r="AB103" s="66"/>
      <c r="AC103" s="66"/>
      <c r="AD103" s="66">
        <f>54811394+5000000+30000000+6689324</f>
        <v>96500718</v>
      </c>
      <c r="AE103" s="22">
        <f t="shared" si="211"/>
        <v>0.87760304539910261</v>
      </c>
      <c r="AF103" s="66">
        <f t="shared" si="164"/>
        <v>84689324</v>
      </c>
      <c r="AG103" s="66"/>
      <c r="AH103" s="66"/>
      <c r="AI103" s="66"/>
      <c r="AJ103" s="66"/>
      <c r="AK103" s="66"/>
      <c r="AL103" s="66"/>
      <c r="AM103" s="66"/>
      <c r="AN103" s="66"/>
      <c r="AO103" s="66"/>
      <c r="AP103" s="66"/>
      <c r="AQ103" s="66"/>
      <c r="AR103" s="66"/>
      <c r="AS103" s="66"/>
      <c r="AT103" s="66"/>
      <c r="AU103" s="66"/>
      <c r="AV103" s="66"/>
      <c r="AW103" s="66"/>
      <c r="AX103" s="66"/>
      <c r="AY103" s="66"/>
      <c r="AZ103" s="66"/>
      <c r="BA103" s="66"/>
      <c r="BB103" s="66"/>
      <c r="BC103" s="66">
        <f>+'[2]SEPTIEMBRE 2019'!$AG$4764</f>
        <v>84689324</v>
      </c>
      <c r="BD103" s="22">
        <f t="shared" si="212"/>
        <v>0.12239695460089739</v>
      </c>
      <c r="BE103" s="66">
        <f t="shared" si="165"/>
        <v>11811394</v>
      </c>
      <c r="BF103" s="66">
        <f t="shared" si="218"/>
        <v>0</v>
      </c>
      <c r="BG103" s="66">
        <f t="shared" si="218"/>
        <v>0</v>
      </c>
      <c r="BH103" s="66">
        <f t="shared" si="218"/>
        <v>0</v>
      </c>
      <c r="BI103" s="66">
        <f t="shared" si="169"/>
        <v>0</v>
      </c>
      <c r="BJ103" s="66">
        <f t="shared" si="219"/>
        <v>0</v>
      </c>
      <c r="BK103" s="66">
        <f t="shared" si="219"/>
        <v>0</v>
      </c>
      <c r="BL103" s="66">
        <f t="shared" si="219"/>
        <v>0</v>
      </c>
      <c r="BM103" s="66">
        <f t="shared" si="219"/>
        <v>0</v>
      </c>
      <c r="BN103" s="66">
        <f t="shared" si="219"/>
        <v>0</v>
      </c>
      <c r="BO103" s="66">
        <f t="shared" si="219"/>
        <v>0</v>
      </c>
      <c r="BP103" s="66">
        <f t="shared" si="219"/>
        <v>0</v>
      </c>
      <c r="BQ103" s="66">
        <f t="shared" si="219"/>
        <v>0</v>
      </c>
      <c r="BR103" s="66">
        <f t="shared" si="219"/>
        <v>0</v>
      </c>
      <c r="BS103" s="66">
        <f t="shared" si="219"/>
        <v>0</v>
      </c>
      <c r="BT103" s="66">
        <f t="shared" si="219"/>
        <v>0</v>
      </c>
      <c r="BU103" s="66">
        <f t="shared" si="219"/>
        <v>0</v>
      </c>
      <c r="BV103" s="66">
        <f>X103-AW103</f>
        <v>0</v>
      </c>
      <c r="BW103" s="66">
        <f t="shared" si="220"/>
        <v>0</v>
      </c>
      <c r="BX103" s="66">
        <f t="shared" si="220"/>
        <v>0</v>
      </c>
      <c r="BY103" s="66">
        <f t="shared" si="220"/>
        <v>0</v>
      </c>
      <c r="BZ103" s="66">
        <f t="shared" si="220"/>
        <v>0</v>
      </c>
      <c r="CA103" s="66"/>
      <c r="CB103" s="66">
        <f>AD103-BC103</f>
        <v>11811394</v>
      </c>
      <c r="CC103" s="22">
        <f t="shared" si="213"/>
        <v>0.66356911458420442</v>
      </c>
      <c r="CD103" s="66">
        <f t="shared" si="188"/>
        <v>64034896</v>
      </c>
      <c r="CE103" s="66"/>
      <c r="CF103" s="66"/>
      <c r="CG103" s="66"/>
      <c r="CH103" s="66"/>
      <c r="CI103" s="66"/>
      <c r="CJ103" s="66"/>
      <c r="CK103" s="66"/>
      <c r="CL103" s="66"/>
      <c r="CM103" s="66"/>
      <c r="CN103" s="66"/>
      <c r="CO103" s="66"/>
      <c r="CP103" s="66"/>
      <c r="CQ103" s="66"/>
      <c r="CR103" s="66"/>
      <c r="CS103" s="66"/>
      <c r="CT103" s="66"/>
      <c r="CU103" s="66"/>
      <c r="CV103" s="66"/>
      <c r="CW103" s="66"/>
      <c r="CX103" s="66"/>
      <c r="CY103" s="66"/>
      <c r="CZ103" s="66"/>
      <c r="DA103" s="66">
        <f>+'[2]SEPTIEMBRE 2019'!$H$4762</f>
        <v>64034896</v>
      </c>
      <c r="DB103" s="77">
        <f t="shared" si="214"/>
        <v>0.33643088541579558</v>
      </c>
      <c r="DC103" s="66">
        <f t="shared" si="189"/>
        <v>32465822</v>
      </c>
      <c r="DD103" s="66">
        <f t="shared" si="190"/>
        <v>0</v>
      </c>
      <c r="DE103" s="66">
        <f t="shared" si="191"/>
        <v>0</v>
      </c>
      <c r="DF103" s="66"/>
      <c r="DG103" s="66">
        <f t="shared" si="192"/>
        <v>0</v>
      </c>
      <c r="DH103" s="66">
        <f t="shared" si="193"/>
        <v>0</v>
      </c>
      <c r="DI103" s="66">
        <f t="shared" si="194"/>
        <v>0</v>
      </c>
      <c r="DJ103" s="66">
        <f t="shared" si="195"/>
        <v>0</v>
      </c>
      <c r="DK103" s="66">
        <f t="shared" si="196"/>
        <v>0</v>
      </c>
      <c r="DL103" s="66">
        <f t="shared" si="197"/>
        <v>0</v>
      </c>
      <c r="DM103" s="66">
        <f t="shared" si="198"/>
        <v>0</v>
      </c>
      <c r="DN103" s="66">
        <f t="shared" si="199"/>
        <v>0</v>
      </c>
      <c r="DO103" s="66">
        <f t="shared" si="200"/>
        <v>0</v>
      </c>
      <c r="DP103" s="66">
        <f t="shared" si="201"/>
        <v>0</v>
      </c>
      <c r="DQ103" s="66">
        <f t="shared" si="202"/>
        <v>0</v>
      </c>
      <c r="DR103" s="66">
        <f t="shared" si="203"/>
        <v>0</v>
      </c>
      <c r="DS103" s="66">
        <f t="shared" si="204"/>
        <v>0</v>
      </c>
      <c r="DT103" s="66">
        <f t="shared" si="205"/>
        <v>0</v>
      </c>
      <c r="DU103" s="66">
        <f t="shared" si="206"/>
        <v>0</v>
      </c>
      <c r="DV103" s="66">
        <f t="shared" si="207"/>
        <v>0</v>
      </c>
      <c r="DW103" s="66">
        <f t="shared" si="208"/>
        <v>0</v>
      </c>
      <c r="DX103" s="66">
        <f t="shared" si="209"/>
        <v>0</v>
      </c>
      <c r="DY103" s="66"/>
      <c r="DZ103" s="66">
        <f t="shared" si="210"/>
        <v>32465822</v>
      </c>
      <c r="EB103" s="9">
        <f t="shared" si="215"/>
        <v>96500718</v>
      </c>
      <c r="EC103" s="9">
        <f t="shared" si="216"/>
        <v>96500718</v>
      </c>
      <c r="ED103" s="9">
        <f t="shared" si="217"/>
        <v>96500718</v>
      </c>
    </row>
    <row r="104" spans="1:136" s="59" customFormat="1" ht="20.25" customHeight="1" thickBot="1" x14ac:dyDescent="0.35">
      <c r="A104" s="85"/>
      <c r="B104" s="221" t="s">
        <v>119</v>
      </c>
      <c r="C104" s="222"/>
      <c r="D104" s="222"/>
      <c r="E104" s="222"/>
      <c r="F104" s="223"/>
      <c r="G104" s="61">
        <f t="shared" ref="G104:AD104" si="221">SUM(G81:G103)</f>
        <v>4542835904</v>
      </c>
      <c r="H104" s="61">
        <f t="shared" si="221"/>
        <v>0</v>
      </c>
      <c r="I104" s="61">
        <f t="shared" si="221"/>
        <v>835000000</v>
      </c>
      <c r="J104" s="61">
        <f t="shared" si="221"/>
        <v>0</v>
      </c>
      <c r="K104" s="61">
        <f t="shared" si="221"/>
        <v>114000000</v>
      </c>
      <c r="L104" s="61">
        <f t="shared" si="221"/>
        <v>0</v>
      </c>
      <c r="M104" s="61">
        <f t="shared" si="221"/>
        <v>0</v>
      </c>
      <c r="N104" s="61">
        <f t="shared" si="221"/>
        <v>0</v>
      </c>
      <c r="O104" s="61">
        <f t="shared" si="221"/>
        <v>0</v>
      </c>
      <c r="P104" s="61">
        <f t="shared" si="221"/>
        <v>0</v>
      </c>
      <c r="Q104" s="61">
        <f t="shared" si="221"/>
        <v>0</v>
      </c>
      <c r="R104" s="61">
        <f t="shared" si="221"/>
        <v>0</v>
      </c>
      <c r="S104" s="61">
        <f t="shared" si="221"/>
        <v>0</v>
      </c>
      <c r="T104" s="61">
        <f t="shared" si="221"/>
        <v>0</v>
      </c>
      <c r="U104" s="61">
        <f t="shared" si="221"/>
        <v>0</v>
      </c>
      <c r="V104" s="61">
        <f t="shared" si="221"/>
        <v>0</v>
      </c>
      <c r="W104" s="61">
        <f t="shared" si="221"/>
        <v>2115618253</v>
      </c>
      <c r="X104" s="61">
        <f t="shared" si="221"/>
        <v>312000000</v>
      </c>
      <c r="Y104" s="61">
        <f t="shared" si="221"/>
        <v>132565530</v>
      </c>
      <c r="Z104" s="61">
        <f t="shared" si="221"/>
        <v>210000000</v>
      </c>
      <c r="AA104" s="61">
        <f t="shared" si="221"/>
        <v>0</v>
      </c>
      <c r="AB104" s="61">
        <f t="shared" si="221"/>
        <v>0</v>
      </c>
      <c r="AC104" s="61">
        <f t="shared" si="221"/>
        <v>0</v>
      </c>
      <c r="AD104" s="61">
        <f t="shared" si="221"/>
        <v>823652121</v>
      </c>
      <c r="AE104" s="62">
        <f t="shared" si="211"/>
        <v>0.70256471297801915</v>
      </c>
      <c r="AF104" s="61">
        <f>SUM(AF81:AF103)</f>
        <v>3191636203</v>
      </c>
      <c r="AG104" s="61">
        <f>SUM(AG81:AG103)</f>
        <v>0</v>
      </c>
      <c r="AH104" s="61">
        <f>SUM(AH81:AH103)</f>
        <v>723629579</v>
      </c>
      <c r="AI104" s="61">
        <f>SUM(AI81:AI103)</f>
        <v>0</v>
      </c>
      <c r="AJ104" s="61"/>
      <c r="AK104" s="61">
        <f t="shared" ref="AK104:BC104" si="222">SUM(AK81:AK103)</f>
        <v>0</v>
      </c>
      <c r="AL104" s="61">
        <f t="shared" si="222"/>
        <v>0</v>
      </c>
      <c r="AM104" s="61">
        <f t="shared" si="222"/>
        <v>0</v>
      </c>
      <c r="AN104" s="61">
        <f t="shared" si="222"/>
        <v>0</v>
      </c>
      <c r="AO104" s="61">
        <f t="shared" si="222"/>
        <v>0</v>
      </c>
      <c r="AP104" s="61">
        <f t="shared" si="222"/>
        <v>0</v>
      </c>
      <c r="AQ104" s="61">
        <f t="shared" si="222"/>
        <v>0</v>
      </c>
      <c r="AR104" s="61">
        <f t="shared" si="222"/>
        <v>0</v>
      </c>
      <c r="AS104" s="61">
        <f t="shared" si="222"/>
        <v>0</v>
      </c>
      <c r="AT104" s="61">
        <f t="shared" si="222"/>
        <v>0</v>
      </c>
      <c r="AU104" s="61">
        <f t="shared" si="222"/>
        <v>0</v>
      </c>
      <c r="AV104" s="61">
        <f t="shared" si="222"/>
        <v>1147808427</v>
      </c>
      <c r="AW104" s="61">
        <f t="shared" si="222"/>
        <v>254812711</v>
      </c>
      <c r="AX104" s="61">
        <f t="shared" si="222"/>
        <v>132163690</v>
      </c>
      <c r="AY104" s="61">
        <f t="shared" si="222"/>
        <v>185055761</v>
      </c>
      <c r="AZ104" s="61">
        <f t="shared" si="222"/>
        <v>0</v>
      </c>
      <c r="BA104" s="61">
        <f t="shared" si="222"/>
        <v>0</v>
      </c>
      <c r="BB104" s="61">
        <f t="shared" si="222"/>
        <v>0</v>
      </c>
      <c r="BC104" s="61">
        <f t="shared" si="222"/>
        <v>748166035</v>
      </c>
      <c r="BD104" s="62">
        <f t="shared" si="212"/>
        <v>0.29743528702198085</v>
      </c>
      <c r="BE104" s="61">
        <f t="shared" ref="BE104:CB104" si="223">SUM(BE81:BE103)</f>
        <v>1351199701</v>
      </c>
      <c r="BF104" s="61">
        <f t="shared" si="223"/>
        <v>0</v>
      </c>
      <c r="BG104" s="61">
        <f t="shared" si="223"/>
        <v>111370421</v>
      </c>
      <c r="BH104" s="61">
        <f t="shared" si="223"/>
        <v>0</v>
      </c>
      <c r="BI104" s="61">
        <f t="shared" si="223"/>
        <v>114000000</v>
      </c>
      <c r="BJ104" s="61">
        <f t="shared" si="223"/>
        <v>0</v>
      </c>
      <c r="BK104" s="61">
        <f t="shared" si="223"/>
        <v>0</v>
      </c>
      <c r="BL104" s="61">
        <f t="shared" si="223"/>
        <v>0</v>
      </c>
      <c r="BM104" s="61">
        <f t="shared" si="223"/>
        <v>0</v>
      </c>
      <c r="BN104" s="61">
        <f t="shared" si="223"/>
        <v>0</v>
      </c>
      <c r="BO104" s="61">
        <f t="shared" si="223"/>
        <v>0</v>
      </c>
      <c r="BP104" s="61">
        <f t="shared" si="223"/>
        <v>0</v>
      </c>
      <c r="BQ104" s="61">
        <f t="shared" si="223"/>
        <v>0</v>
      </c>
      <c r="BR104" s="61">
        <f t="shared" si="223"/>
        <v>0</v>
      </c>
      <c r="BS104" s="61">
        <f t="shared" si="223"/>
        <v>0</v>
      </c>
      <c r="BT104" s="61">
        <f t="shared" si="223"/>
        <v>0</v>
      </c>
      <c r="BU104" s="61">
        <f t="shared" si="223"/>
        <v>967809826</v>
      </c>
      <c r="BV104" s="61">
        <f t="shared" si="223"/>
        <v>57187289</v>
      </c>
      <c r="BW104" s="61">
        <f t="shared" si="223"/>
        <v>401840</v>
      </c>
      <c r="BX104" s="61">
        <f t="shared" si="223"/>
        <v>24944239</v>
      </c>
      <c r="BY104" s="61">
        <f t="shared" si="223"/>
        <v>0</v>
      </c>
      <c r="BZ104" s="61">
        <f t="shared" si="223"/>
        <v>0</v>
      </c>
      <c r="CA104" s="61">
        <f t="shared" si="223"/>
        <v>0</v>
      </c>
      <c r="CB104" s="61">
        <f t="shared" si="223"/>
        <v>75486086</v>
      </c>
      <c r="CC104" s="62">
        <f t="shared" si="213"/>
        <v>0.62252565440673246</v>
      </c>
      <c r="CD104" s="61">
        <f>SUM(CD81:CD103)</f>
        <v>2828031894</v>
      </c>
      <c r="CE104" s="61">
        <f>SUM(CE81:CE103)</f>
        <v>0</v>
      </c>
      <c r="CF104" s="61">
        <f>SUM(CF81:CF103)</f>
        <v>690697980</v>
      </c>
      <c r="CG104" s="61">
        <f>SUM(CG81:CG103)</f>
        <v>0</v>
      </c>
      <c r="CH104" s="61"/>
      <c r="CI104" s="61">
        <f t="shared" ref="CI104:DA104" si="224">SUM(CI81:CI103)</f>
        <v>0</v>
      </c>
      <c r="CJ104" s="61">
        <f t="shared" si="224"/>
        <v>0</v>
      </c>
      <c r="CK104" s="61">
        <f t="shared" si="224"/>
        <v>0</v>
      </c>
      <c r="CL104" s="61">
        <f t="shared" si="224"/>
        <v>0</v>
      </c>
      <c r="CM104" s="61">
        <f t="shared" si="224"/>
        <v>0</v>
      </c>
      <c r="CN104" s="61">
        <f t="shared" si="224"/>
        <v>0</v>
      </c>
      <c r="CO104" s="61">
        <f t="shared" si="224"/>
        <v>0</v>
      </c>
      <c r="CP104" s="61">
        <f t="shared" si="224"/>
        <v>0</v>
      </c>
      <c r="CQ104" s="61">
        <f t="shared" si="224"/>
        <v>0</v>
      </c>
      <c r="CR104" s="61">
        <f t="shared" si="224"/>
        <v>0</v>
      </c>
      <c r="CS104" s="61">
        <f t="shared" si="224"/>
        <v>0</v>
      </c>
      <c r="CT104" s="61">
        <f t="shared" si="224"/>
        <v>925151991</v>
      </c>
      <c r="CU104" s="61">
        <f t="shared" si="224"/>
        <v>232990834</v>
      </c>
      <c r="CV104" s="61">
        <f t="shared" si="224"/>
        <v>131194801</v>
      </c>
      <c r="CW104" s="61">
        <f t="shared" si="224"/>
        <v>174779088</v>
      </c>
      <c r="CX104" s="61">
        <f t="shared" si="224"/>
        <v>0</v>
      </c>
      <c r="CY104" s="61">
        <f t="shared" si="224"/>
        <v>0</v>
      </c>
      <c r="CZ104" s="61">
        <f t="shared" si="224"/>
        <v>0</v>
      </c>
      <c r="DA104" s="61">
        <f t="shared" si="224"/>
        <v>673217200</v>
      </c>
      <c r="DB104" s="62">
        <f t="shared" si="214"/>
        <v>0.37747434559326754</v>
      </c>
      <c r="DC104" s="100">
        <f t="shared" si="189"/>
        <v>1714804010</v>
      </c>
      <c r="DD104" s="61">
        <f t="shared" ref="DD104:DZ104" si="225">SUM(DD81:DD103)</f>
        <v>0</v>
      </c>
      <c r="DE104" s="61">
        <f t="shared" si="225"/>
        <v>144302020</v>
      </c>
      <c r="DF104" s="61">
        <f t="shared" si="225"/>
        <v>0</v>
      </c>
      <c r="DG104" s="61">
        <f t="shared" si="225"/>
        <v>114000000</v>
      </c>
      <c r="DH104" s="61">
        <f t="shared" si="225"/>
        <v>0</v>
      </c>
      <c r="DI104" s="61">
        <f t="shared" si="225"/>
        <v>0</v>
      </c>
      <c r="DJ104" s="61">
        <f t="shared" si="225"/>
        <v>0</v>
      </c>
      <c r="DK104" s="61">
        <f t="shared" si="225"/>
        <v>0</v>
      </c>
      <c r="DL104" s="61">
        <f t="shared" si="225"/>
        <v>0</v>
      </c>
      <c r="DM104" s="61">
        <f t="shared" si="225"/>
        <v>0</v>
      </c>
      <c r="DN104" s="61">
        <f t="shared" si="225"/>
        <v>0</v>
      </c>
      <c r="DO104" s="61">
        <f t="shared" si="225"/>
        <v>0</v>
      </c>
      <c r="DP104" s="61">
        <f t="shared" si="225"/>
        <v>0</v>
      </c>
      <c r="DQ104" s="61">
        <f t="shared" si="225"/>
        <v>0</v>
      </c>
      <c r="DR104" s="61">
        <f t="shared" si="225"/>
        <v>0</v>
      </c>
      <c r="DS104" s="61">
        <f t="shared" si="225"/>
        <v>1190466262</v>
      </c>
      <c r="DT104" s="61">
        <f t="shared" si="225"/>
        <v>79009166</v>
      </c>
      <c r="DU104" s="61">
        <f t="shared" si="225"/>
        <v>1370729</v>
      </c>
      <c r="DV104" s="61">
        <f t="shared" si="225"/>
        <v>35220912</v>
      </c>
      <c r="DW104" s="61">
        <f t="shared" si="225"/>
        <v>0</v>
      </c>
      <c r="DX104" s="61">
        <f t="shared" si="225"/>
        <v>0</v>
      </c>
      <c r="DY104" s="61">
        <f t="shared" si="225"/>
        <v>0</v>
      </c>
      <c r="DZ104" s="61">
        <f t="shared" si="225"/>
        <v>150434921</v>
      </c>
      <c r="EB104" s="9">
        <f t="shared" si="215"/>
        <v>4542835904</v>
      </c>
      <c r="EC104" s="9">
        <f t="shared" si="216"/>
        <v>4542835904</v>
      </c>
      <c r="ED104" s="9">
        <f t="shared" si="217"/>
        <v>4542835904</v>
      </c>
    </row>
    <row r="105" spans="1:136" s="59" customFormat="1" ht="29.4" customHeight="1" thickTop="1" x14ac:dyDescent="0.3">
      <c r="A105" s="224" t="s">
        <v>16</v>
      </c>
      <c r="B105" s="212" t="s">
        <v>118</v>
      </c>
      <c r="C105" s="70" t="s">
        <v>117</v>
      </c>
      <c r="D105" s="69" t="s">
        <v>116</v>
      </c>
      <c r="E105" s="87">
        <v>301</v>
      </c>
      <c r="F105" s="67" t="s">
        <v>21</v>
      </c>
      <c r="G105" s="66">
        <f t="shared" ref="G105:G120" si="226">SUM(H105:AD105)</f>
        <v>16000000</v>
      </c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>
        <v>16000000</v>
      </c>
      <c r="AB105" s="66"/>
      <c r="AC105" s="66"/>
      <c r="AD105" s="66"/>
      <c r="AE105" s="22">
        <f t="shared" si="211"/>
        <v>1</v>
      </c>
      <c r="AF105" s="66">
        <f t="shared" ref="AF105:AF120" si="227">SUM(AG105:BC105)</f>
        <v>16000000</v>
      </c>
      <c r="AG105" s="66"/>
      <c r="AH105" s="66"/>
      <c r="AI105" s="66"/>
      <c r="AJ105" s="66"/>
      <c r="AK105" s="66"/>
      <c r="AL105" s="66"/>
      <c r="AM105" s="66"/>
      <c r="AN105" s="66"/>
      <c r="AO105" s="66"/>
      <c r="AP105" s="66"/>
      <c r="AQ105" s="66"/>
      <c r="AR105" s="66"/>
      <c r="AS105" s="66"/>
      <c r="AT105" s="66"/>
      <c r="AU105" s="66"/>
      <c r="AV105" s="66"/>
      <c r="AW105" s="66"/>
      <c r="AX105" s="66"/>
      <c r="AY105" s="66"/>
      <c r="AZ105" s="66">
        <f>+'[2]SEPTIEMBRE 2019'!$AC$976</f>
        <v>16000000</v>
      </c>
      <c r="BA105" s="66"/>
      <c r="BB105" s="66"/>
      <c r="BC105" s="66"/>
      <c r="BD105" s="22">
        <f t="shared" si="212"/>
        <v>0</v>
      </c>
      <c r="BE105" s="66">
        <f t="shared" ref="BE105:BE120" si="228">SUM(BF105:CB105)</f>
        <v>0</v>
      </c>
      <c r="BF105" s="66">
        <f t="shared" ref="BF105:BH107" si="229">H105-AG105</f>
        <v>0</v>
      </c>
      <c r="BG105" s="66">
        <f t="shared" si="229"/>
        <v>0</v>
      </c>
      <c r="BH105" s="66">
        <f t="shared" si="229"/>
        <v>0</v>
      </c>
      <c r="BI105" s="66">
        <f t="shared" ref="BI105:BI120" si="230">+K105-AJ105</f>
        <v>0</v>
      </c>
      <c r="BJ105" s="66">
        <f t="shared" ref="BJ105:BS107" si="231">L105-AK105</f>
        <v>0</v>
      </c>
      <c r="BK105" s="66">
        <f t="shared" si="231"/>
        <v>0</v>
      </c>
      <c r="BL105" s="66">
        <f t="shared" si="231"/>
        <v>0</v>
      </c>
      <c r="BM105" s="66">
        <f t="shared" si="231"/>
        <v>0</v>
      </c>
      <c r="BN105" s="66">
        <f t="shared" si="231"/>
        <v>0</v>
      </c>
      <c r="BO105" s="66">
        <f t="shared" si="231"/>
        <v>0</v>
      </c>
      <c r="BP105" s="66">
        <f t="shared" si="231"/>
        <v>0</v>
      </c>
      <c r="BQ105" s="66">
        <f t="shared" si="231"/>
        <v>0</v>
      </c>
      <c r="BR105" s="66">
        <f t="shared" si="231"/>
        <v>0</v>
      </c>
      <c r="BS105" s="66">
        <f t="shared" si="231"/>
        <v>0</v>
      </c>
      <c r="BT105" s="66">
        <f t="shared" ref="BT105:BZ107" si="232">V105-AU105</f>
        <v>0</v>
      </c>
      <c r="BU105" s="66">
        <f t="shared" si="232"/>
        <v>0</v>
      </c>
      <c r="BV105" s="66">
        <f t="shared" si="232"/>
        <v>0</v>
      </c>
      <c r="BW105" s="66">
        <f t="shared" si="232"/>
        <v>0</v>
      </c>
      <c r="BX105" s="66">
        <f t="shared" si="232"/>
        <v>0</v>
      </c>
      <c r="BY105" s="66">
        <f t="shared" si="232"/>
        <v>0</v>
      </c>
      <c r="BZ105" s="66">
        <f t="shared" si="232"/>
        <v>0</v>
      </c>
      <c r="CA105" s="66"/>
      <c r="CB105" s="66">
        <f>AD105-BC105</f>
        <v>0</v>
      </c>
      <c r="CC105" s="22">
        <f t="shared" si="213"/>
        <v>0.86291662499999999</v>
      </c>
      <c r="CD105" s="66">
        <f t="shared" ref="CD105:CD120" si="233">SUM(CE105:DA105)</f>
        <v>13806666</v>
      </c>
      <c r="CE105" s="66"/>
      <c r="CF105" s="66"/>
      <c r="CG105" s="66"/>
      <c r="CH105" s="66"/>
      <c r="CI105" s="66"/>
      <c r="CJ105" s="66"/>
      <c r="CK105" s="66"/>
      <c r="CL105" s="66"/>
      <c r="CM105" s="66"/>
      <c r="CN105" s="66"/>
      <c r="CO105" s="66"/>
      <c r="CP105" s="66"/>
      <c r="CQ105" s="66"/>
      <c r="CR105" s="66"/>
      <c r="CS105" s="66"/>
      <c r="CT105" s="66"/>
      <c r="CU105" s="66"/>
      <c r="CV105" s="66"/>
      <c r="CW105" s="66"/>
      <c r="CX105" s="66">
        <f>+'[2]SEPTIEMBRE 2019'!$H$974</f>
        <v>13806666</v>
      </c>
      <c r="CY105" s="66"/>
      <c r="CZ105" s="66"/>
      <c r="DA105" s="66"/>
      <c r="DB105" s="22">
        <f t="shared" si="214"/>
        <v>0.13708337500000001</v>
      </c>
      <c r="DC105" s="99">
        <f t="shared" si="189"/>
        <v>2193334</v>
      </c>
      <c r="DD105" s="66">
        <f t="shared" ref="DD105:DD116" si="234">H105-CE105</f>
        <v>0</v>
      </c>
      <c r="DE105" s="66">
        <f t="shared" ref="DE105:DE116" si="235">I105-CF105</f>
        <v>0</v>
      </c>
      <c r="DF105" s="66"/>
      <c r="DG105" s="66">
        <f t="shared" ref="DG105:DG116" si="236">K105-CH105</f>
        <v>0</v>
      </c>
      <c r="DH105" s="66">
        <f t="shared" ref="DH105:DH116" si="237">L105-CI105</f>
        <v>0</v>
      </c>
      <c r="DI105" s="66">
        <f t="shared" ref="DI105:DI116" si="238">M105-CJ105</f>
        <v>0</v>
      </c>
      <c r="DJ105" s="66">
        <f t="shared" ref="DJ105:DJ116" si="239">N105-CK105</f>
        <v>0</v>
      </c>
      <c r="DK105" s="66">
        <f t="shared" ref="DK105:DK116" si="240">O105-CL105</f>
        <v>0</v>
      </c>
      <c r="DL105" s="66">
        <f t="shared" ref="DL105:DL116" si="241">P105-CM105</f>
        <v>0</v>
      </c>
      <c r="DM105" s="66">
        <f t="shared" ref="DM105:DM116" si="242">Q105-CN105</f>
        <v>0</v>
      </c>
      <c r="DN105" s="66">
        <f t="shared" ref="DN105:DN116" si="243">R105-CO105</f>
        <v>0</v>
      </c>
      <c r="DO105" s="66">
        <f t="shared" ref="DO105:DO116" si="244">S105-CP105</f>
        <v>0</v>
      </c>
      <c r="DP105" s="66">
        <f t="shared" ref="DP105:DP116" si="245">T105-CQ105</f>
        <v>0</v>
      </c>
      <c r="DQ105" s="66">
        <f t="shared" ref="DQ105:DQ116" si="246">U105-CR105</f>
        <v>0</v>
      </c>
      <c r="DR105" s="66">
        <f t="shared" ref="DR105:DR116" si="247">V105-CS105</f>
        <v>0</v>
      </c>
      <c r="DS105" s="66">
        <f t="shared" ref="DS105:DS116" si="248">W105-CT105</f>
        <v>0</v>
      </c>
      <c r="DT105" s="66">
        <f t="shared" ref="DT105:DT116" si="249">X105-CU105</f>
        <v>0</v>
      </c>
      <c r="DU105" s="66">
        <f t="shared" ref="DU105:DU116" si="250">Y105-CV105</f>
        <v>0</v>
      </c>
      <c r="DV105" s="66">
        <f t="shared" ref="DV105:DV116" si="251">Z105-CW105</f>
        <v>0</v>
      </c>
      <c r="DW105" s="66">
        <f t="shared" ref="DW105:DW116" si="252">AA105-CX105</f>
        <v>2193334</v>
      </c>
      <c r="DX105" s="66">
        <f t="shared" ref="DX105:DX116" si="253">AB105-CY105</f>
        <v>0</v>
      </c>
      <c r="DY105" s="66"/>
      <c r="DZ105" s="66">
        <f t="shared" ref="DZ105:DZ116" si="254">AD105-DA105</f>
        <v>0</v>
      </c>
      <c r="EB105" s="9">
        <f t="shared" si="215"/>
        <v>16000000</v>
      </c>
      <c r="EC105" s="9">
        <f t="shared" si="216"/>
        <v>16000000</v>
      </c>
      <c r="ED105" s="9">
        <f t="shared" si="217"/>
        <v>16000000</v>
      </c>
    </row>
    <row r="106" spans="1:136" s="59" customFormat="1" ht="16.2" customHeight="1" x14ac:dyDescent="0.3">
      <c r="A106" s="224"/>
      <c r="B106" s="225"/>
      <c r="C106" s="70" t="s">
        <v>115</v>
      </c>
      <c r="D106" s="69" t="s">
        <v>114</v>
      </c>
      <c r="E106" s="87">
        <v>301</v>
      </c>
      <c r="F106" s="67" t="s">
        <v>21</v>
      </c>
      <c r="G106" s="66">
        <f t="shared" si="226"/>
        <v>64000000</v>
      </c>
      <c r="H106" s="66">
        <v>14000000</v>
      </c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  <c r="AA106" s="66">
        <v>50000000</v>
      </c>
      <c r="AB106" s="66"/>
      <c r="AC106" s="66"/>
      <c r="AD106" s="66"/>
      <c r="AE106" s="22">
        <f t="shared" si="211"/>
        <v>1</v>
      </c>
      <c r="AF106" s="66">
        <f t="shared" si="227"/>
        <v>64000000</v>
      </c>
      <c r="AG106" s="66">
        <f>+'[11]JULIO 2019'!$J$717</f>
        <v>14000000</v>
      </c>
      <c r="AH106" s="66"/>
      <c r="AI106" s="66"/>
      <c r="AJ106" s="66"/>
      <c r="AK106" s="66"/>
      <c r="AL106" s="66"/>
      <c r="AM106" s="66"/>
      <c r="AN106" s="66"/>
      <c r="AO106" s="66"/>
      <c r="AP106" s="66"/>
      <c r="AQ106" s="66"/>
      <c r="AR106" s="66"/>
      <c r="AS106" s="66"/>
      <c r="AT106" s="66"/>
      <c r="AU106" s="66"/>
      <c r="AV106" s="66"/>
      <c r="AW106" s="66"/>
      <c r="AX106" s="66"/>
      <c r="AY106" s="66"/>
      <c r="AZ106" s="66">
        <f>+'[9]ENERO 2019'!$AB$198</f>
        <v>50000000</v>
      </c>
      <c r="BA106" s="66"/>
      <c r="BB106" s="66"/>
      <c r="BC106" s="66"/>
      <c r="BD106" s="22">
        <f t="shared" si="212"/>
        <v>0</v>
      </c>
      <c r="BE106" s="66">
        <f t="shared" si="228"/>
        <v>0</v>
      </c>
      <c r="BF106" s="66">
        <f t="shared" si="229"/>
        <v>0</v>
      </c>
      <c r="BG106" s="66">
        <f t="shared" si="229"/>
        <v>0</v>
      </c>
      <c r="BH106" s="66">
        <f t="shared" si="229"/>
        <v>0</v>
      </c>
      <c r="BI106" s="66">
        <f t="shared" si="230"/>
        <v>0</v>
      </c>
      <c r="BJ106" s="66">
        <f t="shared" si="231"/>
        <v>0</v>
      </c>
      <c r="BK106" s="66">
        <f t="shared" si="231"/>
        <v>0</v>
      </c>
      <c r="BL106" s="66">
        <f t="shared" si="231"/>
        <v>0</v>
      </c>
      <c r="BM106" s="66">
        <f t="shared" si="231"/>
        <v>0</v>
      </c>
      <c r="BN106" s="66">
        <f t="shared" si="231"/>
        <v>0</v>
      </c>
      <c r="BO106" s="66">
        <f t="shared" si="231"/>
        <v>0</v>
      </c>
      <c r="BP106" s="66">
        <f t="shared" si="231"/>
        <v>0</v>
      </c>
      <c r="BQ106" s="66">
        <f t="shared" si="231"/>
        <v>0</v>
      </c>
      <c r="BR106" s="66">
        <f t="shared" si="231"/>
        <v>0</v>
      </c>
      <c r="BS106" s="66">
        <f t="shared" si="231"/>
        <v>0</v>
      </c>
      <c r="BT106" s="66">
        <f t="shared" si="232"/>
        <v>0</v>
      </c>
      <c r="BU106" s="66">
        <f t="shared" si="232"/>
        <v>0</v>
      </c>
      <c r="BV106" s="66">
        <f t="shared" si="232"/>
        <v>0</v>
      </c>
      <c r="BW106" s="66">
        <f t="shared" si="232"/>
        <v>0</v>
      </c>
      <c r="BX106" s="66">
        <f t="shared" si="232"/>
        <v>0</v>
      </c>
      <c r="BY106" s="66">
        <f t="shared" si="232"/>
        <v>0</v>
      </c>
      <c r="BZ106" s="66">
        <f t="shared" si="232"/>
        <v>0</v>
      </c>
      <c r="CA106" s="66"/>
      <c r="CB106" s="66">
        <f>AD106-BC106</f>
        <v>0</v>
      </c>
      <c r="CC106" s="22">
        <f t="shared" si="213"/>
        <v>0.9962760625</v>
      </c>
      <c r="CD106" s="66">
        <f t="shared" si="233"/>
        <v>63761668</v>
      </c>
      <c r="CE106" s="66">
        <f>+'[2]SEPTIEMBRE 2019'!$H$1010</f>
        <v>13761668</v>
      </c>
      <c r="CF106" s="66"/>
      <c r="CG106" s="66"/>
      <c r="CH106" s="66"/>
      <c r="CI106" s="66"/>
      <c r="CJ106" s="66"/>
      <c r="CK106" s="66"/>
      <c r="CL106" s="66"/>
      <c r="CM106" s="66"/>
      <c r="CN106" s="66"/>
      <c r="CO106" s="66"/>
      <c r="CP106" s="66"/>
      <c r="CQ106" s="66"/>
      <c r="CR106" s="66"/>
      <c r="CS106" s="66"/>
      <c r="CT106" s="66"/>
      <c r="CU106" s="66"/>
      <c r="CV106" s="66"/>
      <c r="CW106" s="66"/>
      <c r="CX106" s="66">
        <f>+'[2]SEPTIEMBRE 2019'!$H$987-CE106</f>
        <v>50000000</v>
      </c>
      <c r="CY106" s="66"/>
      <c r="CZ106" s="66"/>
      <c r="DA106" s="66"/>
      <c r="DB106" s="22">
        <f t="shared" si="214"/>
        <v>3.7239374999999963E-3</v>
      </c>
      <c r="DC106" s="66">
        <f t="shared" si="189"/>
        <v>238332</v>
      </c>
      <c r="DD106" s="66">
        <f t="shared" si="234"/>
        <v>238332</v>
      </c>
      <c r="DE106" s="66">
        <f t="shared" si="235"/>
        <v>0</v>
      </c>
      <c r="DF106" s="66"/>
      <c r="DG106" s="66">
        <f t="shared" si="236"/>
        <v>0</v>
      </c>
      <c r="DH106" s="66">
        <f t="shared" si="237"/>
        <v>0</v>
      </c>
      <c r="DI106" s="66">
        <f t="shared" si="238"/>
        <v>0</v>
      </c>
      <c r="DJ106" s="66">
        <f t="shared" si="239"/>
        <v>0</v>
      </c>
      <c r="DK106" s="66">
        <f t="shared" si="240"/>
        <v>0</v>
      </c>
      <c r="DL106" s="66">
        <f t="shared" si="241"/>
        <v>0</v>
      </c>
      <c r="DM106" s="66">
        <f t="shared" si="242"/>
        <v>0</v>
      </c>
      <c r="DN106" s="66">
        <f t="shared" si="243"/>
        <v>0</v>
      </c>
      <c r="DO106" s="66">
        <f t="shared" si="244"/>
        <v>0</v>
      </c>
      <c r="DP106" s="66">
        <f t="shared" si="245"/>
        <v>0</v>
      </c>
      <c r="DQ106" s="66">
        <f t="shared" si="246"/>
        <v>0</v>
      </c>
      <c r="DR106" s="66">
        <f t="shared" si="247"/>
        <v>0</v>
      </c>
      <c r="DS106" s="66">
        <f t="shared" si="248"/>
        <v>0</v>
      </c>
      <c r="DT106" s="66">
        <f t="shared" si="249"/>
        <v>0</v>
      </c>
      <c r="DU106" s="66">
        <f t="shared" si="250"/>
        <v>0</v>
      </c>
      <c r="DV106" s="66">
        <f t="shared" si="251"/>
        <v>0</v>
      </c>
      <c r="DW106" s="66">
        <f t="shared" si="252"/>
        <v>0</v>
      </c>
      <c r="DX106" s="66">
        <f t="shared" si="253"/>
        <v>0</v>
      </c>
      <c r="DY106" s="66"/>
      <c r="DZ106" s="66">
        <f t="shared" si="254"/>
        <v>0</v>
      </c>
      <c r="EB106" s="9">
        <f t="shared" si="215"/>
        <v>64000000</v>
      </c>
      <c r="EC106" s="9">
        <f t="shared" si="216"/>
        <v>64000000</v>
      </c>
      <c r="ED106" s="9">
        <f t="shared" si="217"/>
        <v>64000000</v>
      </c>
    </row>
    <row r="107" spans="1:136" s="59" customFormat="1" ht="33" customHeight="1" x14ac:dyDescent="0.3">
      <c r="A107" s="224"/>
      <c r="B107" s="225"/>
      <c r="C107" s="70" t="s">
        <v>113</v>
      </c>
      <c r="D107" s="69" t="s">
        <v>112</v>
      </c>
      <c r="E107" s="87">
        <v>301</v>
      </c>
      <c r="F107" s="67" t="s">
        <v>21</v>
      </c>
      <c r="G107" s="66">
        <f t="shared" si="226"/>
        <v>60000000</v>
      </c>
      <c r="H107" s="66">
        <v>15000000</v>
      </c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  <c r="AA107" s="66">
        <f>30000000+15000000</f>
        <v>45000000</v>
      </c>
      <c r="AB107" s="66"/>
      <c r="AC107" s="66"/>
      <c r="AD107" s="66"/>
      <c r="AE107" s="22">
        <f t="shared" si="211"/>
        <v>1</v>
      </c>
      <c r="AF107" s="66">
        <f t="shared" si="227"/>
        <v>60000000</v>
      </c>
      <c r="AG107" s="66">
        <f>+'[11]JULIO 2019'!$J$746</f>
        <v>15000000</v>
      </c>
      <c r="AH107" s="66"/>
      <c r="AI107" s="66"/>
      <c r="AJ107" s="66"/>
      <c r="AK107" s="66"/>
      <c r="AL107" s="66"/>
      <c r="AM107" s="66"/>
      <c r="AN107" s="66"/>
      <c r="AO107" s="66"/>
      <c r="AP107" s="66"/>
      <c r="AQ107" s="66"/>
      <c r="AR107" s="66"/>
      <c r="AS107" s="66"/>
      <c r="AT107" s="66"/>
      <c r="AU107" s="66"/>
      <c r="AV107" s="66"/>
      <c r="AW107" s="66"/>
      <c r="AX107" s="66"/>
      <c r="AY107" s="66"/>
      <c r="AZ107" s="66">
        <f>+'[6]MAYO 2019'!$AB$487</f>
        <v>45000000</v>
      </c>
      <c r="BA107" s="66"/>
      <c r="BB107" s="66"/>
      <c r="BC107" s="66"/>
      <c r="BD107" s="22">
        <f t="shared" si="212"/>
        <v>0</v>
      </c>
      <c r="BE107" s="66">
        <f t="shared" si="228"/>
        <v>0</v>
      </c>
      <c r="BF107" s="66">
        <f t="shared" si="229"/>
        <v>0</v>
      </c>
      <c r="BG107" s="66">
        <f t="shared" si="229"/>
        <v>0</v>
      </c>
      <c r="BH107" s="66">
        <f t="shared" si="229"/>
        <v>0</v>
      </c>
      <c r="BI107" s="66">
        <f t="shared" si="230"/>
        <v>0</v>
      </c>
      <c r="BJ107" s="66">
        <f t="shared" si="231"/>
        <v>0</v>
      </c>
      <c r="BK107" s="66">
        <f t="shared" si="231"/>
        <v>0</v>
      </c>
      <c r="BL107" s="66">
        <f t="shared" si="231"/>
        <v>0</v>
      </c>
      <c r="BM107" s="66">
        <f t="shared" si="231"/>
        <v>0</v>
      </c>
      <c r="BN107" s="66">
        <f t="shared" si="231"/>
        <v>0</v>
      </c>
      <c r="BO107" s="66">
        <f t="shared" si="231"/>
        <v>0</v>
      </c>
      <c r="BP107" s="66">
        <f t="shared" si="231"/>
        <v>0</v>
      </c>
      <c r="BQ107" s="66">
        <f t="shared" si="231"/>
        <v>0</v>
      </c>
      <c r="BR107" s="66">
        <f t="shared" si="231"/>
        <v>0</v>
      </c>
      <c r="BS107" s="66">
        <f t="shared" si="231"/>
        <v>0</v>
      </c>
      <c r="BT107" s="66">
        <f t="shared" si="232"/>
        <v>0</v>
      </c>
      <c r="BU107" s="66">
        <f t="shared" si="232"/>
        <v>0</v>
      </c>
      <c r="BV107" s="66">
        <f t="shared" si="232"/>
        <v>0</v>
      </c>
      <c r="BW107" s="66">
        <f t="shared" si="232"/>
        <v>0</v>
      </c>
      <c r="BX107" s="66">
        <f t="shared" si="232"/>
        <v>0</v>
      </c>
      <c r="BY107" s="66">
        <f t="shared" si="232"/>
        <v>0</v>
      </c>
      <c r="BZ107" s="66">
        <f t="shared" si="232"/>
        <v>0</v>
      </c>
      <c r="CA107" s="66"/>
      <c r="CB107" s="66">
        <f>AD107-BC107</f>
        <v>0</v>
      </c>
      <c r="CC107" s="22">
        <f t="shared" si="213"/>
        <v>1</v>
      </c>
      <c r="CD107" s="66">
        <f t="shared" si="233"/>
        <v>60000000</v>
      </c>
      <c r="CE107" s="66">
        <f>+'[1]OCTUBRE 2019'!$H$1170</f>
        <v>15000000</v>
      </c>
      <c r="CF107" s="66"/>
      <c r="CG107" s="66"/>
      <c r="CH107" s="66"/>
      <c r="CI107" s="66"/>
      <c r="CJ107" s="66"/>
      <c r="CK107" s="66"/>
      <c r="CL107" s="66"/>
      <c r="CM107" s="66"/>
      <c r="CN107" s="66"/>
      <c r="CO107" s="66"/>
      <c r="CP107" s="66"/>
      <c r="CQ107" s="66"/>
      <c r="CR107" s="66"/>
      <c r="CS107" s="66"/>
      <c r="CT107" s="66"/>
      <c r="CU107" s="66"/>
      <c r="CV107" s="66"/>
      <c r="CW107" s="66"/>
      <c r="CX107" s="66">
        <f>+'[2]SEPTIEMBRE 2019'!$H$1022-'[2]SEPTIEMBRE 2019'!$H$1047</f>
        <v>45000000</v>
      </c>
      <c r="CY107" s="66"/>
      <c r="CZ107" s="66"/>
      <c r="DA107" s="66"/>
      <c r="DB107" s="22">
        <f t="shared" si="214"/>
        <v>0</v>
      </c>
      <c r="DC107" s="66">
        <f t="shared" si="189"/>
        <v>0</v>
      </c>
      <c r="DD107" s="66">
        <f t="shared" si="234"/>
        <v>0</v>
      </c>
      <c r="DE107" s="66">
        <f t="shared" si="235"/>
        <v>0</v>
      </c>
      <c r="DF107" s="66"/>
      <c r="DG107" s="66">
        <f t="shared" si="236"/>
        <v>0</v>
      </c>
      <c r="DH107" s="66">
        <f t="shared" si="237"/>
        <v>0</v>
      </c>
      <c r="DI107" s="66">
        <f t="shared" si="238"/>
        <v>0</v>
      </c>
      <c r="DJ107" s="66">
        <f t="shared" si="239"/>
        <v>0</v>
      </c>
      <c r="DK107" s="66">
        <f t="shared" si="240"/>
        <v>0</v>
      </c>
      <c r="DL107" s="66">
        <f t="shared" si="241"/>
        <v>0</v>
      </c>
      <c r="DM107" s="66">
        <f t="shared" si="242"/>
        <v>0</v>
      </c>
      <c r="DN107" s="66">
        <f t="shared" si="243"/>
        <v>0</v>
      </c>
      <c r="DO107" s="66">
        <f t="shared" si="244"/>
        <v>0</v>
      </c>
      <c r="DP107" s="66">
        <f t="shared" si="245"/>
        <v>0</v>
      </c>
      <c r="DQ107" s="66">
        <f t="shared" si="246"/>
        <v>0</v>
      </c>
      <c r="DR107" s="66">
        <f t="shared" si="247"/>
        <v>0</v>
      </c>
      <c r="DS107" s="66">
        <f t="shared" si="248"/>
        <v>0</v>
      </c>
      <c r="DT107" s="66">
        <f t="shared" si="249"/>
        <v>0</v>
      </c>
      <c r="DU107" s="66">
        <f t="shared" si="250"/>
        <v>0</v>
      </c>
      <c r="DV107" s="66">
        <f t="shared" si="251"/>
        <v>0</v>
      </c>
      <c r="DW107" s="66">
        <f t="shared" si="252"/>
        <v>0</v>
      </c>
      <c r="DX107" s="66">
        <f t="shared" si="253"/>
        <v>0</v>
      </c>
      <c r="DY107" s="66"/>
      <c r="DZ107" s="66">
        <f t="shared" si="254"/>
        <v>0</v>
      </c>
      <c r="EB107" s="9">
        <f t="shared" si="215"/>
        <v>60000000</v>
      </c>
      <c r="EC107" s="9">
        <f t="shared" si="216"/>
        <v>60000000</v>
      </c>
      <c r="ED107" s="9">
        <f t="shared" si="217"/>
        <v>60000000</v>
      </c>
    </row>
    <row r="108" spans="1:136" s="59" customFormat="1" ht="16.2" customHeight="1" x14ac:dyDescent="0.3">
      <c r="A108" s="224"/>
      <c r="B108" s="97"/>
      <c r="C108" s="70" t="s">
        <v>111</v>
      </c>
      <c r="D108" s="69" t="s">
        <v>110</v>
      </c>
      <c r="E108" s="87">
        <v>301</v>
      </c>
      <c r="F108" s="67" t="s">
        <v>21</v>
      </c>
      <c r="G108" s="66">
        <f t="shared" si="226"/>
        <v>0</v>
      </c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  <c r="AA108" s="66">
        <f>15000000-15000000</f>
        <v>0</v>
      </c>
      <c r="AB108" s="66"/>
      <c r="AC108" s="66"/>
      <c r="AD108" s="66"/>
      <c r="AE108" s="22" t="e">
        <f t="shared" si="211"/>
        <v>#DIV/0!</v>
      </c>
      <c r="AF108" s="66">
        <f t="shared" si="227"/>
        <v>0</v>
      </c>
      <c r="AG108" s="66"/>
      <c r="AH108" s="66"/>
      <c r="AI108" s="66"/>
      <c r="AJ108" s="66"/>
      <c r="AK108" s="66"/>
      <c r="AL108" s="66"/>
      <c r="AM108" s="66"/>
      <c r="AN108" s="66"/>
      <c r="AO108" s="66"/>
      <c r="AP108" s="66"/>
      <c r="AQ108" s="66"/>
      <c r="AR108" s="66"/>
      <c r="AS108" s="66"/>
      <c r="AT108" s="66"/>
      <c r="AU108" s="66"/>
      <c r="AV108" s="66"/>
      <c r="AW108" s="66"/>
      <c r="AX108" s="66"/>
      <c r="AY108" s="66"/>
      <c r="AZ108" s="66"/>
      <c r="BA108" s="66"/>
      <c r="BB108" s="66"/>
      <c r="BC108" s="66"/>
      <c r="BD108" s="22" t="e">
        <f t="shared" si="212"/>
        <v>#DIV/0!</v>
      </c>
      <c r="BE108" s="66">
        <f t="shared" si="228"/>
        <v>0</v>
      </c>
      <c r="BF108" s="66"/>
      <c r="BG108" s="66"/>
      <c r="BH108" s="66"/>
      <c r="BI108" s="66">
        <f t="shared" si="230"/>
        <v>0</v>
      </c>
      <c r="BJ108" s="66"/>
      <c r="BK108" s="66"/>
      <c r="BL108" s="66"/>
      <c r="BM108" s="66"/>
      <c r="BN108" s="66"/>
      <c r="BO108" s="66"/>
      <c r="BP108" s="66"/>
      <c r="BQ108" s="66"/>
      <c r="BR108" s="66"/>
      <c r="BS108" s="66"/>
      <c r="BT108" s="66"/>
      <c r="BU108" s="66"/>
      <c r="BV108" s="66"/>
      <c r="BW108" s="66"/>
      <c r="BX108" s="66"/>
      <c r="BY108" s="66">
        <f t="shared" ref="BY108:BY120" si="255">AA108-AZ108</f>
        <v>0</v>
      </c>
      <c r="BZ108" s="66"/>
      <c r="CA108" s="66"/>
      <c r="CB108" s="66"/>
      <c r="CC108" s="22"/>
      <c r="CD108" s="66">
        <f t="shared" si="233"/>
        <v>0</v>
      </c>
      <c r="CE108" s="66"/>
      <c r="CF108" s="66"/>
      <c r="CG108" s="66"/>
      <c r="CH108" s="66"/>
      <c r="CI108" s="66"/>
      <c r="CJ108" s="66"/>
      <c r="CK108" s="66"/>
      <c r="CL108" s="66"/>
      <c r="CM108" s="66"/>
      <c r="CN108" s="66"/>
      <c r="CO108" s="66"/>
      <c r="CP108" s="66"/>
      <c r="CQ108" s="66"/>
      <c r="CR108" s="66"/>
      <c r="CS108" s="66"/>
      <c r="CT108" s="66"/>
      <c r="CU108" s="66"/>
      <c r="CV108" s="66"/>
      <c r="CW108" s="66"/>
      <c r="CX108" s="66"/>
      <c r="CY108" s="66"/>
      <c r="CZ108" s="66"/>
      <c r="DA108" s="66"/>
      <c r="DB108" s="22">
        <f t="shared" si="214"/>
        <v>1</v>
      </c>
      <c r="DC108" s="66">
        <f t="shared" si="189"/>
        <v>0</v>
      </c>
      <c r="DD108" s="66">
        <f t="shared" si="234"/>
        <v>0</v>
      </c>
      <c r="DE108" s="66">
        <f t="shared" si="235"/>
        <v>0</v>
      </c>
      <c r="DF108" s="66"/>
      <c r="DG108" s="66">
        <f t="shared" si="236"/>
        <v>0</v>
      </c>
      <c r="DH108" s="66">
        <f t="shared" si="237"/>
        <v>0</v>
      </c>
      <c r="DI108" s="66">
        <f t="shared" si="238"/>
        <v>0</v>
      </c>
      <c r="DJ108" s="66">
        <f t="shared" si="239"/>
        <v>0</v>
      </c>
      <c r="DK108" s="66">
        <f t="shared" si="240"/>
        <v>0</v>
      </c>
      <c r="DL108" s="66">
        <f t="shared" si="241"/>
        <v>0</v>
      </c>
      <c r="DM108" s="66">
        <f t="shared" si="242"/>
        <v>0</v>
      </c>
      <c r="DN108" s="66">
        <f t="shared" si="243"/>
        <v>0</v>
      </c>
      <c r="DO108" s="66">
        <f t="shared" si="244"/>
        <v>0</v>
      </c>
      <c r="DP108" s="66">
        <f t="shared" si="245"/>
        <v>0</v>
      </c>
      <c r="DQ108" s="66">
        <f t="shared" si="246"/>
        <v>0</v>
      </c>
      <c r="DR108" s="66">
        <f t="shared" si="247"/>
        <v>0</v>
      </c>
      <c r="DS108" s="66">
        <f t="shared" si="248"/>
        <v>0</v>
      </c>
      <c r="DT108" s="66">
        <f t="shared" si="249"/>
        <v>0</v>
      </c>
      <c r="DU108" s="66">
        <f t="shared" si="250"/>
        <v>0</v>
      </c>
      <c r="DV108" s="66">
        <f t="shared" si="251"/>
        <v>0</v>
      </c>
      <c r="DW108" s="66">
        <f t="shared" si="252"/>
        <v>0</v>
      </c>
      <c r="DX108" s="66">
        <f t="shared" si="253"/>
        <v>0</v>
      </c>
      <c r="DY108" s="66"/>
      <c r="DZ108" s="66">
        <f t="shared" si="254"/>
        <v>0</v>
      </c>
      <c r="EB108" s="9">
        <f t="shared" si="215"/>
        <v>0</v>
      </c>
      <c r="EC108" s="9">
        <f t="shared" si="216"/>
        <v>0</v>
      </c>
      <c r="ED108" s="9">
        <f t="shared" si="217"/>
        <v>0</v>
      </c>
    </row>
    <row r="109" spans="1:136" ht="16.2" customHeight="1" x14ac:dyDescent="0.3">
      <c r="A109" s="224"/>
      <c r="B109" s="91" t="s">
        <v>109</v>
      </c>
      <c r="C109" s="96" t="s">
        <v>108</v>
      </c>
      <c r="D109" s="69" t="s">
        <v>107</v>
      </c>
      <c r="E109" s="87">
        <v>301</v>
      </c>
      <c r="F109" s="67" t="s">
        <v>103</v>
      </c>
      <c r="G109" s="66">
        <f t="shared" si="226"/>
        <v>480654632</v>
      </c>
      <c r="H109" s="66">
        <f>15137846+35000000</f>
        <v>50137846</v>
      </c>
      <c r="I109" s="66">
        <f>180000000</f>
        <v>180000000</v>
      </c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>
        <f>14788955+60000000</f>
        <v>74788955</v>
      </c>
      <c r="AA109" s="66">
        <v>167968376</v>
      </c>
      <c r="AB109" s="66"/>
      <c r="AC109" s="66"/>
      <c r="AD109" s="66">
        <f>6759455+1000000</f>
        <v>7759455</v>
      </c>
      <c r="AE109" s="22">
        <f t="shared" si="211"/>
        <v>0.99791950408167496</v>
      </c>
      <c r="AF109" s="66">
        <f t="shared" si="227"/>
        <v>479654632</v>
      </c>
      <c r="AG109" s="66">
        <f>+'[11]JULIO 2019'!$J$776</f>
        <v>50137846</v>
      </c>
      <c r="AH109" s="66">
        <f>+'[10]ABRIL 2019'!$K$412</f>
        <v>180000000</v>
      </c>
      <c r="AI109" s="66"/>
      <c r="AJ109" s="66"/>
      <c r="AK109" s="66"/>
      <c r="AL109" s="66"/>
      <c r="AM109" s="66"/>
      <c r="AN109" s="66"/>
      <c r="AO109" s="66"/>
      <c r="AP109" s="66"/>
      <c r="AQ109" s="66"/>
      <c r="AR109" s="66"/>
      <c r="AS109" s="66"/>
      <c r="AT109" s="66"/>
      <c r="AU109" s="66"/>
      <c r="AV109" s="66"/>
      <c r="AW109" s="66"/>
      <c r="AX109" s="66"/>
      <c r="AY109" s="66">
        <f>+'[2]SEPTIEMBRE 2019'!$AB$1065</f>
        <v>73788955</v>
      </c>
      <c r="AZ109" s="66">
        <f>+'[10]ABRIL 2019'!$AB$412</f>
        <v>167968376</v>
      </c>
      <c r="BA109" s="66"/>
      <c r="BB109" s="66"/>
      <c r="BC109" s="66">
        <f>+'[1]OCTUBRE 2019'!$G$1210+'[1]OCTUBRE 2019'!$G$1263+'[1]OCTUBRE 2019'!$G$1272+'[1]OCTUBRE 2019'!$G$1273+'[1]OCTUBRE 2019'!$G$1296+'[1]OCTUBRE 2019'!$G$1297</f>
        <v>7759455</v>
      </c>
      <c r="BD109" s="22">
        <f t="shared" si="212"/>
        <v>2.0804959183250427E-3</v>
      </c>
      <c r="BE109" s="66">
        <f t="shared" si="228"/>
        <v>1000000</v>
      </c>
      <c r="BF109" s="66">
        <f t="shared" ref="BF109:BH116" si="256">H109-AG109</f>
        <v>0</v>
      </c>
      <c r="BG109" s="66">
        <f t="shared" si="256"/>
        <v>0</v>
      </c>
      <c r="BH109" s="66">
        <f t="shared" si="256"/>
        <v>0</v>
      </c>
      <c r="BI109" s="66">
        <f t="shared" si="230"/>
        <v>0</v>
      </c>
      <c r="BJ109" s="66">
        <f t="shared" ref="BJ109:BJ120" si="257">L109-AK109</f>
        <v>0</v>
      </c>
      <c r="BK109" s="66">
        <f t="shared" ref="BK109:BK120" si="258">M109-AL109</f>
        <v>0</v>
      </c>
      <c r="BL109" s="66">
        <f t="shared" ref="BL109:BL120" si="259">N109-AM109</f>
        <v>0</v>
      </c>
      <c r="BM109" s="66">
        <f t="shared" ref="BM109:BM120" si="260">O109-AN109</f>
        <v>0</v>
      </c>
      <c r="BN109" s="66">
        <f t="shared" ref="BN109:BN120" si="261">P109-AO109</f>
        <v>0</v>
      </c>
      <c r="BO109" s="66">
        <f t="shared" ref="BO109:BO120" si="262">Q109-AP109</f>
        <v>0</v>
      </c>
      <c r="BP109" s="66">
        <f t="shared" ref="BP109:BP120" si="263">R109-AQ109</f>
        <v>0</v>
      </c>
      <c r="BQ109" s="66">
        <f t="shared" ref="BQ109:BQ120" si="264">S109-AR109</f>
        <v>0</v>
      </c>
      <c r="BR109" s="66">
        <f t="shared" ref="BR109:BR120" si="265">T109-AS109</f>
        <v>0</v>
      </c>
      <c r="BS109" s="66">
        <f t="shared" ref="BS109:BS120" si="266">U109-AT109</f>
        <v>0</v>
      </c>
      <c r="BT109" s="66">
        <f t="shared" ref="BT109:BT120" si="267">V109-AU109</f>
        <v>0</v>
      </c>
      <c r="BU109" s="66">
        <f t="shared" ref="BU109:BU120" si="268">W109-AV109</f>
        <v>0</v>
      </c>
      <c r="BV109" s="66">
        <f t="shared" ref="BV109:BV120" si="269">X109-AW109</f>
        <v>0</v>
      </c>
      <c r="BW109" s="66">
        <f t="shared" ref="BW109:BW120" si="270">Y109-AX109</f>
        <v>0</v>
      </c>
      <c r="BX109" s="66">
        <f t="shared" ref="BX109:BX120" si="271">Z109-AY109</f>
        <v>1000000</v>
      </c>
      <c r="BY109" s="66">
        <f t="shared" si="255"/>
        <v>0</v>
      </c>
      <c r="BZ109" s="66">
        <f t="shared" ref="BZ109:BZ120" si="272">AB109-BA109</f>
        <v>0</v>
      </c>
      <c r="CA109" s="66"/>
      <c r="CB109" s="66">
        <f t="shared" ref="CB109:CB120" si="273">AD109-BC109</f>
        <v>0</v>
      </c>
      <c r="CC109" s="22">
        <f t="shared" ref="CC109:CC138" si="274">+CD109/G109</f>
        <v>0.80738917543605404</v>
      </c>
      <c r="CD109" s="95">
        <f t="shared" si="233"/>
        <v>388075347</v>
      </c>
      <c r="CE109" s="66">
        <f>+'[2]SEPTIEMBRE 2019'!$H$1134+'[2]SEPTIEMBRE 2019'!$H$1142+'[2]SEPTIEMBRE 2019'!$H$1157+'[2]SEPTIEMBRE 2019'!$H$1158</f>
        <v>49805474</v>
      </c>
      <c r="CF109" s="66">
        <f>+'[1]OCTUBRE 2019'!$K$1193+'[1]OCTUBRE 2019'!$H$1211+'[1]OCTUBRE 2019'!$H$1213+'[1]OCTUBRE 2019'!$H$1219+'[1]OCTUBRE 2019'!$H$1249</f>
        <v>170103390</v>
      </c>
      <c r="CG109" s="66"/>
      <c r="CH109" s="66"/>
      <c r="CI109" s="66"/>
      <c r="CJ109" s="66"/>
      <c r="CK109" s="66"/>
      <c r="CL109" s="66"/>
      <c r="CM109" s="66"/>
      <c r="CN109" s="66"/>
      <c r="CO109" s="66"/>
      <c r="CP109" s="66"/>
      <c r="CQ109" s="66"/>
      <c r="CR109" s="66"/>
      <c r="CS109" s="66"/>
      <c r="CT109" s="66"/>
      <c r="CU109" s="66"/>
      <c r="CV109" s="66"/>
      <c r="CW109" s="66">
        <f>+'[1]OCTUBRE 2019'!$H$1291</f>
        <v>10941940</v>
      </c>
      <c r="CX109" s="66">
        <f>+'[1]OCTUBRE 2019'!$H$1216+'[1]OCTUBRE 2019'!$H$1218+'[1]OCTUBRE 2019'!$H$1221+'[1]OCTUBRE 2019'!$H$1224+'[1]OCTUBRE 2019'!$H$1226+'[1]OCTUBRE 2019'!$H$1230+'[1]OCTUBRE 2019'!$G$1241+'[1]OCTUBRE 2019'!$H$1257+'[1]OCTUBRE 2019'!$H$1271+'[1]OCTUBRE 2019'!$H$1284</f>
        <v>155575543</v>
      </c>
      <c r="CY109" s="66"/>
      <c r="CZ109" s="66"/>
      <c r="DA109" s="66">
        <f>+'[1]OCTUBRE 2019'!$H$1263</f>
        <v>1649000</v>
      </c>
      <c r="DB109" s="22">
        <f t="shared" si="214"/>
        <v>0.19261082456394596</v>
      </c>
      <c r="DC109" s="66">
        <f t="shared" si="189"/>
        <v>92579285</v>
      </c>
      <c r="DD109" s="66">
        <f t="shared" si="234"/>
        <v>332372</v>
      </c>
      <c r="DE109" s="66">
        <f t="shared" si="235"/>
        <v>9896610</v>
      </c>
      <c r="DF109" s="66">
        <f>J109-CG109</f>
        <v>0</v>
      </c>
      <c r="DG109" s="66">
        <f t="shared" si="236"/>
        <v>0</v>
      </c>
      <c r="DH109" s="66">
        <f t="shared" si="237"/>
        <v>0</v>
      </c>
      <c r="DI109" s="66">
        <f t="shared" si="238"/>
        <v>0</v>
      </c>
      <c r="DJ109" s="66">
        <f t="shared" si="239"/>
        <v>0</v>
      </c>
      <c r="DK109" s="66">
        <f t="shared" si="240"/>
        <v>0</v>
      </c>
      <c r="DL109" s="66">
        <f t="shared" si="241"/>
        <v>0</v>
      </c>
      <c r="DM109" s="66">
        <f t="shared" si="242"/>
        <v>0</v>
      </c>
      <c r="DN109" s="66">
        <f t="shared" si="243"/>
        <v>0</v>
      </c>
      <c r="DO109" s="66">
        <f t="shared" si="244"/>
        <v>0</v>
      </c>
      <c r="DP109" s="66">
        <f t="shared" si="245"/>
        <v>0</v>
      </c>
      <c r="DQ109" s="66">
        <f t="shared" si="246"/>
        <v>0</v>
      </c>
      <c r="DR109" s="66">
        <f t="shared" si="247"/>
        <v>0</v>
      </c>
      <c r="DS109" s="66">
        <f t="shared" si="248"/>
        <v>0</v>
      </c>
      <c r="DT109" s="66">
        <f t="shared" si="249"/>
        <v>0</v>
      </c>
      <c r="DU109" s="66">
        <f t="shared" si="250"/>
        <v>0</v>
      </c>
      <c r="DV109" s="66">
        <f t="shared" si="251"/>
        <v>63847015</v>
      </c>
      <c r="DW109" s="66">
        <f t="shared" si="252"/>
        <v>12392833</v>
      </c>
      <c r="DX109" s="66">
        <f t="shared" si="253"/>
        <v>0</v>
      </c>
      <c r="DY109" s="66"/>
      <c r="DZ109" s="66">
        <f t="shared" si="254"/>
        <v>6110455</v>
      </c>
      <c r="EB109" s="9">
        <f t="shared" si="215"/>
        <v>480654632</v>
      </c>
      <c r="EC109" s="9">
        <f t="shared" si="216"/>
        <v>480654632</v>
      </c>
      <c r="ED109" s="9">
        <f t="shared" si="217"/>
        <v>480654632</v>
      </c>
      <c r="EF109" s="4"/>
    </row>
    <row r="110" spans="1:136" ht="19.2" customHeight="1" x14ac:dyDescent="0.3">
      <c r="A110" s="224"/>
      <c r="B110" s="94" t="s">
        <v>106</v>
      </c>
      <c r="C110" s="70" t="s">
        <v>105</v>
      </c>
      <c r="D110" s="71" t="s">
        <v>104</v>
      </c>
      <c r="E110" s="87">
        <v>301</v>
      </c>
      <c r="F110" s="67" t="s">
        <v>103</v>
      </c>
      <c r="G110" s="66">
        <f t="shared" si="226"/>
        <v>393609249</v>
      </c>
      <c r="H110" s="66"/>
      <c r="I110" s="66"/>
      <c r="J110" s="66"/>
      <c r="K110" s="66"/>
      <c r="L110" s="66"/>
      <c r="M110" s="66">
        <v>208000000</v>
      </c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>
        <v>100000000</v>
      </c>
      <c r="Y110" s="66">
        <v>32712008</v>
      </c>
      <c r="Z110" s="66">
        <f>40000000</f>
        <v>40000000</v>
      </c>
      <c r="AA110" s="66"/>
      <c r="AB110" s="66"/>
      <c r="AC110" s="66"/>
      <c r="AD110" s="66">
        <f>12000000+1000000-102759</f>
        <v>12897241</v>
      </c>
      <c r="AE110" s="22">
        <f t="shared" si="211"/>
        <v>0.99757627646600344</v>
      </c>
      <c r="AF110" s="66">
        <f t="shared" si="227"/>
        <v>392655249</v>
      </c>
      <c r="AG110" s="66"/>
      <c r="AH110" s="66"/>
      <c r="AI110" s="66"/>
      <c r="AJ110" s="66"/>
      <c r="AK110" s="66"/>
      <c r="AL110" s="66">
        <f>+'[11]JULIO 2019'!$N$855</f>
        <v>208000000</v>
      </c>
      <c r="AM110" s="66"/>
      <c r="AN110" s="66"/>
      <c r="AO110" s="66"/>
      <c r="AP110" s="66"/>
      <c r="AQ110" s="66"/>
      <c r="AR110" s="66"/>
      <c r="AS110" s="66"/>
      <c r="AT110" s="66"/>
      <c r="AU110" s="66"/>
      <c r="AV110" s="66"/>
      <c r="AW110" s="66">
        <f>+'[1]OCTUBRE 2019'!$Z$1305</f>
        <v>99046000</v>
      </c>
      <c r="AX110" s="66">
        <f>+'[11]JULIO 2019'!$Z$855</f>
        <v>32712008</v>
      </c>
      <c r="AY110" s="66">
        <f>+'[2]SEPTIEMBRE 2019'!$AB$1171</f>
        <v>40000000</v>
      </c>
      <c r="AZ110" s="66"/>
      <c r="BA110" s="66"/>
      <c r="BB110" s="66"/>
      <c r="BC110" s="66">
        <f>+'[2]SEPTIEMBRE 2019'!$AG$1171</f>
        <v>12897241</v>
      </c>
      <c r="BD110" s="22">
        <f t="shared" si="212"/>
        <v>2.4237235339965579E-3</v>
      </c>
      <c r="BE110" s="66">
        <f t="shared" si="228"/>
        <v>954000</v>
      </c>
      <c r="BF110" s="66">
        <f t="shared" si="256"/>
        <v>0</v>
      </c>
      <c r="BG110" s="66">
        <f t="shared" si="256"/>
        <v>0</v>
      </c>
      <c r="BH110" s="66">
        <f t="shared" si="256"/>
        <v>0</v>
      </c>
      <c r="BI110" s="66">
        <f t="shared" si="230"/>
        <v>0</v>
      </c>
      <c r="BJ110" s="66">
        <f t="shared" si="257"/>
        <v>0</v>
      </c>
      <c r="BK110" s="66">
        <f t="shared" si="258"/>
        <v>0</v>
      </c>
      <c r="BL110" s="66">
        <f t="shared" si="259"/>
        <v>0</v>
      </c>
      <c r="BM110" s="66">
        <f t="shared" si="260"/>
        <v>0</v>
      </c>
      <c r="BN110" s="66">
        <f t="shared" si="261"/>
        <v>0</v>
      </c>
      <c r="BO110" s="66">
        <f t="shared" si="262"/>
        <v>0</v>
      </c>
      <c r="BP110" s="66">
        <f t="shared" si="263"/>
        <v>0</v>
      </c>
      <c r="BQ110" s="66">
        <f t="shared" si="264"/>
        <v>0</v>
      </c>
      <c r="BR110" s="66">
        <f t="shared" si="265"/>
        <v>0</v>
      </c>
      <c r="BS110" s="66">
        <f t="shared" si="266"/>
        <v>0</v>
      </c>
      <c r="BT110" s="66">
        <f t="shared" si="267"/>
        <v>0</v>
      </c>
      <c r="BU110" s="66">
        <f t="shared" si="268"/>
        <v>0</v>
      </c>
      <c r="BV110" s="66">
        <f t="shared" si="269"/>
        <v>954000</v>
      </c>
      <c r="BW110" s="66">
        <f t="shared" si="270"/>
        <v>0</v>
      </c>
      <c r="BX110" s="66">
        <f t="shared" si="271"/>
        <v>0</v>
      </c>
      <c r="BY110" s="66">
        <f t="shared" si="255"/>
        <v>0</v>
      </c>
      <c r="BZ110" s="66">
        <f t="shared" si="272"/>
        <v>0</v>
      </c>
      <c r="CA110" s="66"/>
      <c r="CB110" s="66">
        <f t="shared" si="273"/>
        <v>0</v>
      </c>
      <c r="CC110" s="22">
        <f t="shared" si="274"/>
        <v>0.96863867139463489</v>
      </c>
      <c r="CD110" s="66">
        <f t="shared" si="233"/>
        <v>381265140</v>
      </c>
      <c r="CE110" s="66"/>
      <c r="CF110" s="66"/>
      <c r="CG110" s="66"/>
      <c r="CH110" s="66"/>
      <c r="CI110" s="66"/>
      <c r="CJ110" s="66">
        <f>+'[2]SEPTIEMBRE 2019'!$H$1172+'[2]SEPTIEMBRE 2019'!$O$1233-2</f>
        <v>205876669</v>
      </c>
      <c r="CK110" s="66"/>
      <c r="CL110" s="66"/>
      <c r="CM110" s="66"/>
      <c r="CN110" s="66"/>
      <c r="CO110" s="66"/>
      <c r="CP110" s="66"/>
      <c r="CQ110" s="66"/>
      <c r="CR110" s="66"/>
      <c r="CS110" s="66"/>
      <c r="CT110" s="66"/>
      <c r="CU110" s="66">
        <f>+'[1]OCTUBRE 2019'!$H$1332+'[1]OCTUBRE 2019'!$H$1335+'[1]OCTUBRE 2019'!$H$1340+'[1]OCTUBRE 2019'!$H$1343+'[1]OCTUBRE 2019'!$H$1352+'[1]OCTUBRE 2019'!$H$1355+'[1]OCTUBRE 2019'!$H$1359+'[1]OCTUBRE 2019'!$H$1362+'[1]OCTUBRE 2019'!$Z$1367</f>
        <v>96846000</v>
      </c>
      <c r="CV110" s="66">
        <f>+'[1]OCTUBRE 2019'!$AA$1367-'[1]OCTUBRE 2019'!$I$1367</f>
        <v>27246666</v>
      </c>
      <c r="CW110" s="66">
        <f>+'[1]OCTUBRE 2019'!$H$1392</f>
        <v>40000000</v>
      </c>
      <c r="CX110" s="66"/>
      <c r="CY110" s="66"/>
      <c r="CZ110" s="66"/>
      <c r="DA110" s="66">
        <f>+'[1]OCTUBRE 2019'!$H$1329+'[1]OCTUBRE 2019'!$H$1348+'[1]OCTUBRE 2019'!$H$1365+'[1]OCTUBRE 2019'!$H$1386</f>
        <v>11295805</v>
      </c>
      <c r="DB110" s="22">
        <f t="shared" si="214"/>
        <v>3.1361328605365113E-2</v>
      </c>
      <c r="DC110" s="66">
        <f t="shared" si="189"/>
        <v>12344109</v>
      </c>
      <c r="DD110" s="66">
        <f t="shared" si="234"/>
        <v>0</v>
      </c>
      <c r="DE110" s="66">
        <f t="shared" si="235"/>
        <v>0</v>
      </c>
      <c r="DF110" s="66"/>
      <c r="DG110" s="66">
        <f t="shared" si="236"/>
        <v>0</v>
      </c>
      <c r="DH110" s="66">
        <f t="shared" si="237"/>
        <v>0</v>
      </c>
      <c r="DI110" s="66">
        <f t="shared" si="238"/>
        <v>2123331</v>
      </c>
      <c r="DJ110" s="66">
        <f t="shared" si="239"/>
        <v>0</v>
      </c>
      <c r="DK110" s="66">
        <f t="shared" si="240"/>
        <v>0</v>
      </c>
      <c r="DL110" s="66">
        <f t="shared" si="241"/>
        <v>0</v>
      </c>
      <c r="DM110" s="66">
        <f t="shared" si="242"/>
        <v>0</v>
      </c>
      <c r="DN110" s="66">
        <f t="shared" si="243"/>
        <v>0</v>
      </c>
      <c r="DO110" s="66">
        <f t="shared" si="244"/>
        <v>0</v>
      </c>
      <c r="DP110" s="66">
        <f t="shared" si="245"/>
        <v>0</v>
      </c>
      <c r="DQ110" s="66">
        <f t="shared" si="246"/>
        <v>0</v>
      </c>
      <c r="DR110" s="66">
        <f t="shared" si="247"/>
        <v>0</v>
      </c>
      <c r="DS110" s="66">
        <f t="shared" si="248"/>
        <v>0</v>
      </c>
      <c r="DT110" s="66">
        <f t="shared" si="249"/>
        <v>3154000</v>
      </c>
      <c r="DU110" s="66">
        <f t="shared" si="250"/>
        <v>5465342</v>
      </c>
      <c r="DV110" s="66">
        <f t="shared" si="251"/>
        <v>0</v>
      </c>
      <c r="DW110" s="66">
        <f t="shared" si="252"/>
        <v>0</v>
      </c>
      <c r="DX110" s="66">
        <f t="shared" si="253"/>
        <v>0</v>
      </c>
      <c r="DY110" s="66"/>
      <c r="DZ110" s="66">
        <f t="shared" si="254"/>
        <v>1601436</v>
      </c>
      <c r="EB110" s="9">
        <f t="shared" si="215"/>
        <v>393609249</v>
      </c>
      <c r="EC110" s="9">
        <f t="shared" si="216"/>
        <v>393609249</v>
      </c>
      <c r="ED110" s="9">
        <f t="shared" si="217"/>
        <v>393609249</v>
      </c>
    </row>
    <row r="111" spans="1:136" ht="30" customHeight="1" x14ac:dyDescent="0.3">
      <c r="A111" s="224"/>
      <c r="B111" s="219" t="s">
        <v>102</v>
      </c>
      <c r="C111" s="70" t="s">
        <v>101</v>
      </c>
      <c r="D111" s="71" t="s">
        <v>100</v>
      </c>
      <c r="E111" s="87">
        <v>301</v>
      </c>
      <c r="F111" s="67" t="s">
        <v>99</v>
      </c>
      <c r="G111" s="66">
        <f t="shared" si="226"/>
        <v>184833400</v>
      </c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  <c r="AA111" s="66">
        <v>50000000</v>
      </c>
      <c r="AB111" s="66"/>
      <c r="AC111" s="66"/>
      <c r="AD111" s="66">
        <f>72963935+8272669+25096796+15000000+1500000+12000000</f>
        <v>134833400</v>
      </c>
      <c r="AE111" s="22">
        <f t="shared" si="211"/>
        <v>0.69578819087892119</v>
      </c>
      <c r="AF111" s="66">
        <f t="shared" si="227"/>
        <v>128604897</v>
      </c>
      <c r="AG111" s="66"/>
      <c r="AH111" s="66"/>
      <c r="AI111" s="66"/>
      <c r="AJ111" s="66"/>
      <c r="AK111" s="66"/>
      <c r="AL111" s="66"/>
      <c r="AM111" s="66"/>
      <c r="AN111" s="66"/>
      <c r="AO111" s="66"/>
      <c r="AP111" s="66"/>
      <c r="AQ111" s="66"/>
      <c r="AR111" s="66"/>
      <c r="AS111" s="66"/>
      <c r="AT111" s="66"/>
      <c r="AU111" s="66"/>
      <c r="AV111" s="66"/>
      <c r="AW111" s="66"/>
      <c r="AX111" s="66"/>
      <c r="AY111" s="66"/>
      <c r="AZ111" s="66">
        <f>+'[6]MAYO 2019'!$AB$617</f>
        <v>49997500</v>
      </c>
      <c r="BA111" s="66"/>
      <c r="BB111" s="66"/>
      <c r="BC111" s="66">
        <f>+'[2]SEPTIEMBRE 2019'!$AG$1265+'[1]OCTUBRE 2019'!$G$1433</f>
        <v>78607397</v>
      </c>
      <c r="BD111" s="22">
        <f t="shared" si="212"/>
        <v>0.30421180912107881</v>
      </c>
      <c r="BE111" s="66">
        <f t="shared" si="228"/>
        <v>56228503</v>
      </c>
      <c r="BF111" s="66">
        <f t="shared" si="256"/>
        <v>0</v>
      </c>
      <c r="BG111" s="66">
        <f t="shared" si="256"/>
        <v>0</v>
      </c>
      <c r="BH111" s="66">
        <f t="shared" si="256"/>
        <v>0</v>
      </c>
      <c r="BI111" s="66">
        <f t="shared" si="230"/>
        <v>0</v>
      </c>
      <c r="BJ111" s="66">
        <f t="shared" si="257"/>
        <v>0</v>
      </c>
      <c r="BK111" s="66">
        <f t="shared" si="258"/>
        <v>0</v>
      </c>
      <c r="BL111" s="66">
        <f t="shared" si="259"/>
        <v>0</v>
      </c>
      <c r="BM111" s="66">
        <f t="shared" si="260"/>
        <v>0</v>
      </c>
      <c r="BN111" s="66">
        <f t="shared" si="261"/>
        <v>0</v>
      </c>
      <c r="BO111" s="66">
        <f t="shared" si="262"/>
        <v>0</v>
      </c>
      <c r="BP111" s="66">
        <f t="shared" si="263"/>
        <v>0</v>
      </c>
      <c r="BQ111" s="66">
        <f t="shared" si="264"/>
        <v>0</v>
      </c>
      <c r="BR111" s="66">
        <f t="shared" si="265"/>
        <v>0</v>
      </c>
      <c r="BS111" s="66">
        <f t="shared" si="266"/>
        <v>0</v>
      </c>
      <c r="BT111" s="66">
        <f t="shared" si="267"/>
        <v>0</v>
      </c>
      <c r="BU111" s="66">
        <f t="shared" si="268"/>
        <v>0</v>
      </c>
      <c r="BV111" s="66">
        <f t="shared" si="269"/>
        <v>0</v>
      </c>
      <c r="BW111" s="66">
        <f t="shared" si="270"/>
        <v>0</v>
      </c>
      <c r="BX111" s="66">
        <f t="shared" si="271"/>
        <v>0</v>
      </c>
      <c r="BY111" s="66">
        <f t="shared" si="255"/>
        <v>2500</v>
      </c>
      <c r="BZ111" s="66">
        <f t="shared" si="272"/>
        <v>0</v>
      </c>
      <c r="CA111" s="66"/>
      <c r="CB111" s="66">
        <f t="shared" si="273"/>
        <v>56226003</v>
      </c>
      <c r="CC111" s="22">
        <f t="shared" si="274"/>
        <v>0.59699978467095238</v>
      </c>
      <c r="CD111" s="66">
        <f t="shared" si="233"/>
        <v>110345500</v>
      </c>
      <c r="CE111" s="66"/>
      <c r="CF111" s="66"/>
      <c r="CG111" s="66"/>
      <c r="CH111" s="66"/>
      <c r="CI111" s="66"/>
      <c r="CJ111" s="66"/>
      <c r="CK111" s="66"/>
      <c r="CL111" s="66"/>
      <c r="CM111" s="66"/>
      <c r="CN111" s="66"/>
      <c r="CO111" s="66"/>
      <c r="CP111" s="66"/>
      <c r="CQ111" s="66"/>
      <c r="CR111" s="66"/>
      <c r="CS111" s="66"/>
      <c r="CT111" s="66"/>
      <c r="CU111" s="66"/>
      <c r="CV111" s="66"/>
      <c r="CW111" s="66"/>
      <c r="CX111" s="66">
        <f>+'[2]SEPTIEMBRE 2019'!$H$1274+'[2]SEPTIEMBRE 2019'!$H$1279</f>
        <v>41007500</v>
      </c>
      <c r="CY111" s="66"/>
      <c r="CZ111" s="66"/>
      <c r="DA111" s="66">
        <f>+'[2]SEPTIEMBRE 2019'!$H$1266+'[2]SEPTIEMBRE 2019'!$H$1281+'[2]SEPTIEMBRE 2019'!$H$1283+'[2]SEPTIEMBRE 2019'!$H$1286+'[2]SEPTIEMBRE 2019'!$H$1288+'[2]SEPTIEMBRE 2019'!$H$1291+'[2]SEPTIEMBRE 2019'!$H$1294+'[2]SEPTIEMBRE 2019'!$H$1297</f>
        <v>69338000</v>
      </c>
      <c r="DB111" s="22">
        <f t="shared" si="214"/>
        <v>0.40300021532904762</v>
      </c>
      <c r="DC111" s="66">
        <f t="shared" si="189"/>
        <v>74487900</v>
      </c>
      <c r="DD111" s="66">
        <f t="shared" si="234"/>
        <v>0</v>
      </c>
      <c r="DE111" s="66">
        <f t="shared" si="235"/>
        <v>0</v>
      </c>
      <c r="DF111" s="66">
        <f>J111-CG111</f>
        <v>0</v>
      </c>
      <c r="DG111" s="66">
        <f t="shared" si="236"/>
        <v>0</v>
      </c>
      <c r="DH111" s="66">
        <f t="shared" si="237"/>
        <v>0</v>
      </c>
      <c r="DI111" s="66">
        <f t="shared" si="238"/>
        <v>0</v>
      </c>
      <c r="DJ111" s="66">
        <f t="shared" si="239"/>
        <v>0</v>
      </c>
      <c r="DK111" s="66">
        <f t="shared" si="240"/>
        <v>0</v>
      </c>
      <c r="DL111" s="66">
        <f t="shared" si="241"/>
        <v>0</v>
      </c>
      <c r="DM111" s="66">
        <f t="shared" si="242"/>
        <v>0</v>
      </c>
      <c r="DN111" s="66">
        <f t="shared" si="243"/>
        <v>0</v>
      </c>
      <c r="DO111" s="66">
        <f t="shared" si="244"/>
        <v>0</v>
      </c>
      <c r="DP111" s="66">
        <f t="shared" si="245"/>
        <v>0</v>
      </c>
      <c r="DQ111" s="66">
        <f t="shared" si="246"/>
        <v>0</v>
      </c>
      <c r="DR111" s="66">
        <f t="shared" si="247"/>
        <v>0</v>
      </c>
      <c r="DS111" s="66">
        <f t="shared" si="248"/>
        <v>0</v>
      </c>
      <c r="DT111" s="66">
        <f t="shared" si="249"/>
        <v>0</v>
      </c>
      <c r="DU111" s="66">
        <f t="shared" si="250"/>
        <v>0</v>
      </c>
      <c r="DV111" s="66">
        <f t="shared" si="251"/>
        <v>0</v>
      </c>
      <c r="DW111" s="66">
        <f t="shared" si="252"/>
        <v>8992500</v>
      </c>
      <c r="DX111" s="66">
        <f t="shared" si="253"/>
        <v>0</v>
      </c>
      <c r="DY111" s="66"/>
      <c r="DZ111" s="66">
        <f t="shared" si="254"/>
        <v>65495400</v>
      </c>
      <c r="EB111" s="9">
        <f t="shared" si="215"/>
        <v>184833400</v>
      </c>
      <c r="EC111" s="9">
        <f t="shared" si="216"/>
        <v>184833400</v>
      </c>
      <c r="ED111" s="9">
        <f t="shared" si="217"/>
        <v>184833400</v>
      </c>
    </row>
    <row r="112" spans="1:136" ht="44.4" customHeight="1" x14ac:dyDescent="0.3">
      <c r="A112" s="224"/>
      <c r="B112" s="220"/>
      <c r="C112" s="70" t="s">
        <v>98</v>
      </c>
      <c r="D112" s="69" t="s">
        <v>97</v>
      </c>
      <c r="E112" s="87">
        <v>301</v>
      </c>
      <c r="F112" s="67" t="s">
        <v>21</v>
      </c>
      <c r="G112" s="66">
        <f t="shared" si="226"/>
        <v>15000000</v>
      </c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  <c r="AA112" s="66">
        <v>15000000</v>
      </c>
      <c r="AB112" s="66"/>
      <c r="AC112" s="66"/>
      <c r="AD112" s="66"/>
      <c r="AE112" s="22">
        <f t="shared" si="211"/>
        <v>1</v>
      </c>
      <c r="AF112" s="66">
        <f t="shared" si="227"/>
        <v>15000000</v>
      </c>
      <c r="AG112" s="66"/>
      <c r="AH112" s="66"/>
      <c r="AI112" s="66"/>
      <c r="AJ112" s="66"/>
      <c r="AK112" s="66"/>
      <c r="AL112" s="66"/>
      <c r="AM112" s="66"/>
      <c r="AN112" s="66"/>
      <c r="AO112" s="66"/>
      <c r="AP112" s="66"/>
      <c r="AQ112" s="66"/>
      <c r="AR112" s="66"/>
      <c r="AS112" s="66"/>
      <c r="AT112" s="66"/>
      <c r="AU112" s="66"/>
      <c r="AV112" s="66"/>
      <c r="AW112" s="66"/>
      <c r="AX112" s="66"/>
      <c r="AY112" s="66"/>
      <c r="AZ112" s="66">
        <f>+'[5]MARZO 2019'!$AB$399</f>
        <v>15000000</v>
      </c>
      <c r="BA112" s="66"/>
      <c r="BB112" s="66"/>
      <c r="BC112" s="66"/>
      <c r="BD112" s="22">
        <f t="shared" si="212"/>
        <v>0</v>
      </c>
      <c r="BE112" s="66">
        <f t="shared" si="228"/>
        <v>0</v>
      </c>
      <c r="BF112" s="66">
        <f t="shared" si="256"/>
        <v>0</v>
      </c>
      <c r="BG112" s="66">
        <f t="shared" si="256"/>
        <v>0</v>
      </c>
      <c r="BH112" s="66">
        <f t="shared" si="256"/>
        <v>0</v>
      </c>
      <c r="BI112" s="66">
        <f t="shared" si="230"/>
        <v>0</v>
      </c>
      <c r="BJ112" s="66">
        <f t="shared" si="257"/>
        <v>0</v>
      </c>
      <c r="BK112" s="66">
        <f t="shared" si="258"/>
        <v>0</v>
      </c>
      <c r="BL112" s="66">
        <f t="shared" si="259"/>
        <v>0</v>
      </c>
      <c r="BM112" s="66">
        <f t="shared" si="260"/>
        <v>0</v>
      </c>
      <c r="BN112" s="66">
        <f t="shared" si="261"/>
        <v>0</v>
      </c>
      <c r="BO112" s="66">
        <f t="shared" si="262"/>
        <v>0</v>
      </c>
      <c r="BP112" s="66">
        <f t="shared" si="263"/>
        <v>0</v>
      </c>
      <c r="BQ112" s="66">
        <f t="shared" si="264"/>
        <v>0</v>
      </c>
      <c r="BR112" s="66">
        <f t="shared" si="265"/>
        <v>0</v>
      </c>
      <c r="BS112" s="66">
        <f t="shared" si="266"/>
        <v>0</v>
      </c>
      <c r="BT112" s="66">
        <f t="shared" si="267"/>
        <v>0</v>
      </c>
      <c r="BU112" s="66">
        <f t="shared" si="268"/>
        <v>0</v>
      </c>
      <c r="BV112" s="66">
        <f t="shared" si="269"/>
        <v>0</v>
      </c>
      <c r="BW112" s="66">
        <f t="shared" si="270"/>
        <v>0</v>
      </c>
      <c r="BX112" s="66">
        <f t="shared" si="271"/>
        <v>0</v>
      </c>
      <c r="BY112" s="66">
        <f t="shared" si="255"/>
        <v>0</v>
      </c>
      <c r="BZ112" s="66">
        <f t="shared" si="272"/>
        <v>0</v>
      </c>
      <c r="CA112" s="66"/>
      <c r="CB112" s="66">
        <f t="shared" si="273"/>
        <v>0</v>
      </c>
      <c r="CC112" s="22">
        <f t="shared" si="274"/>
        <v>0.89777773333333333</v>
      </c>
      <c r="CD112" s="66">
        <f t="shared" si="233"/>
        <v>13466666</v>
      </c>
      <c r="CE112" s="66"/>
      <c r="CF112" s="66"/>
      <c r="CG112" s="66"/>
      <c r="CH112" s="66"/>
      <c r="CI112" s="66"/>
      <c r="CJ112" s="66"/>
      <c r="CK112" s="66"/>
      <c r="CL112" s="66"/>
      <c r="CM112" s="66"/>
      <c r="CN112" s="66"/>
      <c r="CO112" s="66"/>
      <c r="CP112" s="66"/>
      <c r="CQ112" s="66"/>
      <c r="CR112" s="66"/>
      <c r="CS112" s="66"/>
      <c r="CT112" s="66"/>
      <c r="CU112" s="66"/>
      <c r="CV112" s="66"/>
      <c r="CW112" s="66"/>
      <c r="CX112" s="66">
        <f>+'[7]AGOSTO 2019'!$H$1069</f>
        <v>13466666</v>
      </c>
      <c r="CY112" s="66"/>
      <c r="CZ112" s="66"/>
      <c r="DA112" s="66"/>
      <c r="DB112" s="22">
        <f t="shared" si="214"/>
        <v>0.10222226666666667</v>
      </c>
      <c r="DC112" s="66">
        <f t="shared" si="189"/>
        <v>1533334</v>
      </c>
      <c r="DD112" s="66">
        <f t="shared" si="234"/>
        <v>0</v>
      </c>
      <c r="DE112" s="66">
        <f t="shared" si="235"/>
        <v>0</v>
      </c>
      <c r="DF112" s="66"/>
      <c r="DG112" s="66">
        <f t="shared" si="236"/>
        <v>0</v>
      </c>
      <c r="DH112" s="66">
        <f t="shared" si="237"/>
        <v>0</v>
      </c>
      <c r="DI112" s="66">
        <f t="shared" si="238"/>
        <v>0</v>
      </c>
      <c r="DJ112" s="66">
        <f t="shared" si="239"/>
        <v>0</v>
      </c>
      <c r="DK112" s="66">
        <f t="shared" si="240"/>
        <v>0</v>
      </c>
      <c r="DL112" s="66">
        <f t="shared" si="241"/>
        <v>0</v>
      </c>
      <c r="DM112" s="66">
        <f t="shared" si="242"/>
        <v>0</v>
      </c>
      <c r="DN112" s="66">
        <f t="shared" si="243"/>
        <v>0</v>
      </c>
      <c r="DO112" s="66">
        <f t="shared" si="244"/>
        <v>0</v>
      </c>
      <c r="DP112" s="66">
        <f t="shared" si="245"/>
        <v>0</v>
      </c>
      <c r="DQ112" s="66">
        <f t="shared" si="246"/>
        <v>0</v>
      </c>
      <c r="DR112" s="66">
        <f t="shared" si="247"/>
        <v>0</v>
      </c>
      <c r="DS112" s="66">
        <f t="shared" si="248"/>
        <v>0</v>
      </c>
      <c r="DT112" s="66">
        <f t="shared" si="249"/>
        <v>0</v>
      </c>
      <c r="DU112" s="66">
        <f t="shared" si="250"/>
        <v>0</v>
      </c>
      <c r="DV112" s="66">
        <f t="shared" si="251"/>
        <v>0</v>
      </c>
      <c r="DW112" s="66">
        <f t="shared" si="252"/>
        <v>1533334</v>
      </c>
      <c r="DX112" s="66">
        <f t="shared" si="253"/>
        <v>0</v>
      </c>
      <c r="DY112" s="66"/>
      <c r="DZ112" s="66">
        <f t="shared" si="254"/>
        <v>0</v>
      </c>
      <c r="EB112" s="9">
        <f t="shared" si="215"/>
        <v>15000000</v>
      </c>
      <c r="EC112" s="9">
        <f t="shared" si="216"/>
        <v>15000000</v>
      </c>
      <c r="ED112" s="9">
        <f t="shared" si="217"/>
        <v>15000000</v>
      </c>
    </row>
    <row r="113" spans="1:136" ht="41.4" customHeight="1" x14ac:dyDescent="0.3">
      <c r="A113" s="224"/>
      <c r="B113" s="93"/>
      <c r="C113" s="70" t="s">
        <v>96</v>
      </c>
      <c r="D113" s="69" t="s">
        <v>95</v>
      </c>
      <c r="E113" s="87">
        <v>301</v>
      </c>
      <c r="F113" s="67" t="s">
        <v>21</v>
      </c>
      <c r="G113" s="66">
        <f t="shared" si="226"/>
        <v>2313284</v>
      </c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>
        <v>2313284</v>
      </c>
      <c r="AB113" s="66"/>
      <c r="AC113" s="66"/>
      <c r="AD113" s="66"/>
      <c r="AE113" s="22">
        <f t="shared" si="211"/>
        <v>1</v>
      </c>
      <c r="AF113" s="66">
        <f t="shared" si="227"/>
        <v>2313284</v>
      </c>
      <c r="AG113" s="66"/>
      <c r="AH113" s="66"/>
      <c r="AI113" s="66"/>
      <c r="AJ113" s="66"/>
      <c r="AK113" s="66"/>
      <c r="AL113" s="66"/>
      <c r="AM113" s="66"/>
      <c r="AN113" s="66"/>
      <c r="AO113" s="66"/>
      <c r="AP113" s="66"/>
      <c r="AQ113" s="66"/>
      <c r="AR113" s="66"/>
      <c r="AS113" s="66"/>
      <c r="AT113" s="66"/>
      <c r="AU113" s="66"/>
      <c r="AV113" s="66"/>
      <c r="AW113" s="66"/>
      <c r="AX113" s="66"/>
      <c r="AY113" s="66"/>
      <c r="AZ113" s="66">
        <f>+'[5]MARZO 2019'!$AB$405</f>
        <v>2313284</v>
      </c>
      <c r="BA113" s="66"/>
      <c r="BB113" s="66"/>
      <c r="BC113" s="66"/>
      <c r="BD113" s="22">
        <f t="shared" si="212"/>
        <v>0</v>
      </c>
      <c r="BE113" s="66">
        <f t="shared" si="228"/>
        <v>0</v>
      </c>
      <c r="BF113" s="66">
        <f t="shared" si="256"/>
        <v>0</v>
      </c>
      <c r="BG113" s="66">
        <f t="shared" si="256"/>
        <v>0</v>
      </c>
      <c r="BH113" s="66">
        <f t="shared" si="256"/>
        <v>0</v>
      </c>
      <c r="BI113" s="66">
        <f t="shared" si="230"/>
        <v>0</v>
      </c>
      <c r="BJ113" s="66">
        <f t="shared" si="257"/>
        <v>0</v>
      </c>
      <c r="BK113" s="66">
        <f t="shared" si="258"/>
        <v>0</v>
      </c>
      <c r="BL113" s="66">
        <f t="shared" si="259"/>
        <v>0</v>
      </c>
      <c r="BM113" s="66">
        <f t="shared" si="260"/>
        <v>0</v>
      </c>
      <c r="BN113" s="66">
        <f t="shared" si="261"/>
        <v>0</v>
      </c>
      <c r="BO113" s="66">
        <f t="shared" si="262"/>
        <v>0</v>
      </c>
      <c r="BP113" s="66">
        <f t="shared" si="263"/>
        <v>0</v>
      </c>
      <c r="BQ113" s="66">
        <f t="shared" si="264"/>
        <v>0</v>
      </c>
      <c r="BR113" s="66">
        <f t="shared" si="265"/>
        <v>0</v>
      </c>
      <c r="BS113" s="66">
        <f t="shared" si="266"/>
        <v>0</v>
      </c>
      <c r="BT113" s="66">
        <f t="shared" si="267"/>
        <v>0</v>
      </c>
      <c r="BU113" s="66">
        <f t="shared" si="268"/>
        <v>0</v>
      </c>
      <c r="BV113" s="66">
        <f t="shared" si="269"/>
        <v>0</v>
      </c>
      <c r="BW113" s="66">
        <f t="shared" si="270"/>
        <v>0</v>
      </c>
      <c r="BX113" s="66">
        <f t="shared" si="271"/>
        <v>0</v>
      </c>
      <c r="BY113" s="66">
        <f t="shared" si="255"/>
        <v>0</v>
      </c>
      <c r="BZ113" s="66">
        <f t="shared" si="272"/>
        <v>0</v>
      </c>
      <c r="CA113" s="66"/>
      <c r="CB113" s="66">
        <f t="shared" si="273"/>
        <v>0</v>
      </c>
      <c r="CC113" s="22">
        <f t="shared" si="274"/>
        <v>0</v>
      </c>
      <c r="CD113" s="66">
        <f t="shared" si="233"/>
        <v>0</v>
      </c>
      <c r="CE113" s="66"/>
      <c r="CF113" s="66"/>
      <c r="CG113" s="66"/>
      <c r="CH113" s="66"/>
      <c r="CI113" s="66"/>
      <c r="CJ113" s="66"/>
      <c r="CK113" s="66"/>
      <c r="CL113" s="66"/>
      <c r="CM113" s="66"/>
      <c r="CN113" s="66"/>
      <c r="CO113" s="66"/>
      <c r="CP113" s="66"/>
      <c r="CQ113" s="66"/>
      <c r="CR113" s="66"/>
      <c r="CS113" s="66"/>
      <c r="CT113" s="66"/>
      <c r="CU113" s="66"/>
      <c r="CV113" s="66"/>
      <c r="CW113" s="66"/>
      <c r="CX113" s="66"/>
      <c r="CY113" s="66"/>
      <c r="CZ113" s="66"/>
      <c r="DA113" s="66"/>
      <c r="DB113" s="22">
        <f t="shared" si="214"/>
        <v>1</v>
      </c>
      <c r="DC113" s="66">
        <f t="shared" si="189"/>
        <v>2313284</v>
      </c>
      <c r="DD113" s="66">
        <f t="shared" si="234"/>
        <v>0</v>
      </c>
      <c r="DE113" s="66">
        <f t="shared" si="235"/>
        <v>0</v>
      </c>
      <c r="DF113" s="66"/>
      <c r="DG113" s="66">
        <f t="shared" si="236"/>
        <v>0</v>
      </c>
      <c r="DH113" s="66">
        <f t="shared" si="237"/>
        <v>0</v>
      </c>
      <c r="DI113" s="66">
        <f t="shared" si="238"/>
        <v>0</v>
      </c>
      <c r="DJ113" s="66">
        <f t="shared" si="239"/>
        <v>0</v>
      </c>
      <c r="DK113" s="66">
        <f t="shared" si="240"/>
        <v>0</v>
      </c>
      <c r="DL113" s="66">
        <f t="shared" si="241"/>
        <v>0</v>
      </c>
      <c r="DM113" s="66">
        <f t="shared" si="242"/>
        <v>0</v>
      </c>
      <c r="DN113" s="66">
        <f t="shared" si="243"/>
        <v>0</v>
      </c>
      <c r="DO113" s="66">
        <f t="shared" si="244"/>
        <v>0</v>
      </c>
      <c r="DP113" s="66">
        <f t="shared" si="245"/>
        <v>0</v>
      </c>
      <c r="DQ113" s="66">
        <f t="shared" si="246"/>
        <v>0</v>
      </c>
      <c r="DR113" s="66">
        <f t="shared" si="247"/>
        <v>0</v>
      </c>
      <c r="DS113" s="66">
        <f t="shared" si="248"/>
        <v>0</v>
      </c>
      <c r="DT113" s="66">
        <f t="shared" si="249"/>
        <v>0</v>
      </c>
      <c r="DU113" s="66">
        <f t="shared" si="250"/>
        <v>0</v>
      </c>
      <c r="DV113" s="66">
        <f t="shared" si="251"/>
        <v>0</v>
      </c>
      <c r="DW113" s="66">
        <f t="shared" si="252"/>
        <v>2313284</v>
      </c>
      <c r="DX113" s="66">
        <f t="shared" si="253"/>
        <v>0</v>
      </c>
      <c r="DY113" s="66"/>
      <c r="DZ113" s="66">
        <f t="shared" si="254"/>
        <v>0</v>
      </c>
      <c r="EB113" s="9">
        <f t="shared" si="215"/>
        <v>2313284</v>
      </c>
      <c r="EC113" s="9">
        <f t="shared" si="216"/>
        <v>2313284</v>
      </c>
      <c r="ED113" s="9">
        <f t="shared" si="217"/>
        <v>2313284</v>
      </c>
    </row>
    <row r="114" spans="1:136" ht="17.399999999999999" customHeight="1" x14ac:dyDescent="0.3">
      <c r="A114" s="224"/>
      <c r="B114" s="93"/>
      <c r="C114" s="70" t="s">
        <v>94</v>
      </c>
      <c r="D114" s="69" t="s">
        <v>93</v>
      </c>
      <c r="E114" s="87">
        <v>301</v>
      </c>
      <c r="F114" s="67" t="s">
        <v>21</v>
      </c>
      <c r="G114" s="66">
        <f t="shared" si="226"/>
        <v>10000000</v>
      </c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  <c r="AA114" s="66">
        <v>10000000</v>
      </c>
      <c r="AB114" s="66"/>
      <c r="AC114" s="66"/>
      <c r="AD114" s="66"/>
      <c r="AE114" s="22">
        <f t="shared" si="211"/>
        <v>1</v>
      </c>
      <c r="AF114" s="66">
        <f t="shared" si="227"/>
        <v>10000000</v>
      </c>
      <c r="AG114" s="66"/>
      <c r="AH114" s="66"/>
      <c r="AI114" s="66"/>
      <c r="AJ114" s="66"/>
      <c r="AK114" s="66"/>
      <c r="AL114" s="66"/>
      <c r="AM114" s="66"/>
      <c r="AN114" s="66"/>
      <c r="AO114" s="66"/>
      <c r="AP114" s="66"/>
      <c r="AQ114" s="66"/>
      <c r="AR114" s="66"/>
      <c r="AS114" s="66"/>
      <c r="AT114" s="66"/>
      <c r="AU114" s="66"/>
      <c r="AV114" s="66"/>
      <c r="AW114" s="66"/>
      <c r="AX114" s="66"/>
      <c r="AY114" s="66"/>
      <c r="AZ114" s="66">
        <f>+'[5]MARZO 2019'!$AB$411</f>
        <v>10000000</v>
      </c>
      <c r="BA114" s="66"/>
      <c r="BB114" s="66"/>
      <c r="BC114" s="66"/>
      <c r="BD114" s="22">
        <f t="shared" si="212"/>
        <v>0</v>
      </c>
      <c r="BE114" s="66">
        <f t="shared" si="228"/>
        <v>0</v>
      </c>
      <c r="BF114" s="66">
        <f t="shared" si="256"/>
        <v>0</v>
      </c>
      <c r="BG114" s="66">
        <f t="shared" si="256"/>
        <v>0</v>
      </c>
      <c r="BH114" s="66">
        <f t="shared" si="256"/>
        <v>0</v>
      </c>
      <c r="BI114" s="66">
        <f t="shared" si="230"/>
        <v>0</v>
      </c>
      <c r="BJ114" s="66">
        <f t="shared" si="257"/>
        <v>0</v>
      </c>
      <c r="BK114" s="66">
        <f t="shared" si="258"/>
        <v>0</v>
      </c>
      <c r="BL114" s="66">
        <f t="shared" si="259"/>
        <v>0</v>
      </c>
      <c r="BM114" s="66">
        <f t="shared" si="260"/>
        <v>0</v>
      </c>
      <c r="BN114" s="66">
        <f t="shared" si="261"/>
        <v>0</v>
      </c>
      <c r="BO114" s="66">
        <f t="shared" si="262"/>
        <v>0</v>
      </c>
      <c r="BP114" s="66">
        <f t="shared" si="263"/>
        <v>0</v>
      </c>
      <c r="BQ114" s="66">
        <f t="shared" si="264"/>
        <v>0</v>
      </c>
      <c r="BR114" s="66">
        <f t="shared" si="265"/>
        <v>0</v>
      </c>
      <c r="BS114" s="66">
        <f t="shared" si="266"/>
        <v>0</v>
      </c>
      <c r="BT114" s="66">
        <f t="shared" si="267"/>
        <v>0</v>
      </c>
      <c r="BU114" s="66">
        <f t="shared" si="268"/>
        <v>0</v>
      </c>
      <c r="BV114" s="66">
        <f t="shared" si="269"/>
        <v>0</v>
      </c>
      <c r="BW114" s="66">
        <f t="shared" si="270"/>
        <v>0</v>
      </c>
      <c r="BX114" s="66">
        <f t="shared" si="271"/>
        <v>0</v>
      </c>
      <c r="BY114" s="66">
        <f t="shared" si="255"/>
        <v>0</v>
      </c>
      <c r="BZ114" s="66">
        <f t="shared" si="272"/>
        <v>0</v>
      </c>
      <c r="CA114" s="66"/>
      <c r="CB114" s="66">
        <f t="shared" si="273"/>
        <v>0</v>
      </c>
      <c r="CC114" s="22">
        <f t="shared" si="274"/>
        <v>0</v>
      </c>
      <c r="CD114" s="66">
        <f t="shared" si="233"/>
        <v>0</v>
      </c>
      <c r="CE114" s="66"/>
      <c r="CF114" s="66"/>
      <c r="CG114" s="66"/>
      <c r="CH114" s="66"/>
      <c r="CI114" s="66"/>
      <c r="CJ114" s="66"/>
      <c r="CK114" s="66"/>
      <c r="CL114" s="66"/>
      <c r="CM114" s="66"/>
      <c r="CN114" s="66"/>
      <c r="CO114" s="66"/>
      <c r="CP114" s="66"/>
      <c r="CQ114" s="66"/>
      <c r="CR114" s="66"/>
      <c r="CS114" s="66"/>
      <c r="CT114" s="66"/>
      <c r="CU114" s="66"/>
      <c r="CV114" s="66"/>
      <c r="CW114" s="66"/>
      <c r="CX114" s="66"/>
      <c r="CY114" s="66"/>
      <c r="CZ114" s="66"/>
      <c r="DA114" s="66"/>
      <c r="DB114" s="22">
        <f t="shared" si="214"/>
        <v>1</v>
      </c>
      <c r="DC114" s="66">
        <f t="shared" si="189"/>
        <v>10000000</v>
      </c>
      <c r="DD114" s="66">
        <f t="shared" si="234"/>
        <v>0</v>
      </c>
      <c r="DE114" s="66">
        <f t="shared" si="235"/>
        <v>0</v>
      </c>
      <c r="DF114" s="66"/>
      <c r="DG114" s="66">
        <f t="shared" si="236"/>
        <v>0</v>
      </c>
      <c r="DH114" s="66">
        <f t="shared" si="237"/>
        <v>0</v>
      </c>
      <c r="DI114" s="66">
        <f t="shared" si="238"/>
        <v>0</v>
      </c>
      <c r="DJ114" s="66">
        <f t="shared" si="239"/>
        <v>0</v>
      </c>
      <c r="DK114" s="66">
        <f t="shared" si="240"/>
        <v>0</v>
      </c>
      <c r="DL114" s="66">
        <f t="shared" si="241"/>
        <v>0</v>
      </c>
      <c r="DM114" s="66">
        <f t="shared" si="242"/>
        <v>0</v>
      </c>
      <c r="DN114" s="66">
        <f t="shared" si="243"/>
        <v>0</v>
      </c>
      <c r="DO114" s="66">
        <f t="shared" si="244"/>
        <v>0</v>
      </c>
      <c r="DP114" s="66">
        <f t="shared" si="245"/>
        <v>0</v>
      </c>
      <c r="DQ114" s="66">
        <f t="shared" si="246"/>
        <v>0</v>
      </c>
      <c r="DR114" s="66">
        <f t="shared" si="247"/>
        <v>0</v>
      </c>
      <c r="DS114" s="66">
        <f t="shared" si="248"/>
        <v>0</v>
      </c>
      <c r="DT114" s="66">
        <f t="shared" si="249"/>
        <v>0</v>
      </c>
      <c r="DU114" s="66">
        <f t="shared" si="250"/>
        <v>0</v>
      </c>
      <c r="DV114" s="66">
        <f t="shared" si="251"/>
        <v>0</v>
      </c>
      <c r="DW114" s="66">
        <f t="shared" si="252"/>
        <v>10000000</v>
      </c>
      <c r="DX114" s="66">
        <f t="shared" si="253"/>
        <v>0</v>
      </c>
      <c r="DY114" s="66"/>
      <c r="DZ114" s="66">
        <f t="shared" si="254"/>
        <v>0</v>
      </c>
      <c r="EB114" s="9">
        <f t="shared" si="215"/>
        <v>10000000</v>
      </c>
      <c r="EC114" s="9">
        <f t="shared" si="216"/>
        <v>10000000</v>
      </c>
      <c r="ED114" s="9">
        <f t="shared" si="217"/>
        <v>10000000</v>
      </c>
    </row>
    <row r="115" spans="1:136" ht="15.6" customHeight="1" x14ac:dyDescent="0.3">
      <c r="A115" s="224"/>
      <c r="B115" s="93"/>
      <c r="C115" s="70" t="s">
        <v>92</v>
      </c>
      <c r="D115" s="69" t="s">
        <v>91</v>
      </c>
      <c r="E115" s="87">
        <v>301</v>
      </c>
      <c r="F115" s="67" t="s">
        <v>21</v>
      </c>
      <c r="G115" s="66">
        <f t="shared" si="226"/>
        <v>6000000</v>
      </c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  <c r="AA115" s="66">
        <v>6000000</v>
      </c>
      <c r="AB115" s="66"/>
      <c r="AC115" s="66"/>
      <c r="AD115" s="66"/>
      <c r="AE115" s="22">
        <f t="shared" si="211"/>
        <v>1</v>
      </c>
      <c r="AF115" s="66">
        <f t="shared" si="227"/>
        <v>6000000</v>
      </c>
      <c r="AG115" s="66"/>
      <c r="AH115" s="66"/>
      <c r="AI115" s="66"/>
      <c r="AJ115" s="66"/>
      <c r="AK115" s="66"/>
      <c r="AL115" s="66"/>
      <c r="AM115" s="66"/>
      <c r="AN115" s="66"/>
      <c r="AO115" s="66"/>
      <c r="AP115" s="66"/>
      <c r="AQ115" s="66"/>
      <c r="AR115" s="66"/>
      <c r="AS115" s="66"/>
      <c r="AT115" s="66"/>
      <c r="AU115" s="66"/>
      <c r="AV115" s="66"/>
      <c r="AW115" s="66"/>
      <c r="AX115" s="66"/>
      <c r="AY115" s="66"/>
      <c r="AZ115" s="66">
        <f>+'[5]MARZO 2019'!$AB$417</f>
        <v>6000000</v>
      </c>
      <c r="BA115" s="66"/>
      <c r="BB115" s="66"/>
      <c r="BC115" s="66"/>
      <c r="BD115" s="22">
        <f t="shared" si="212"/>
        <v>0</v>
      </c>
      <c r="BE115" s="66">
        <f t="shared" si="228"/>
        <v>0</v>
      </c>
      <c r="BF115" s="66">
        <f t="shared" si="256"/>
        <v>0</v>
      </c>
      <c r="BG115" s="66">
        <f t="shared" si="256"/>
        <v>0</v>
      </c>
      <c r="BH115" s="66">
        <f t="shared" si="256"/>
        <v>0</v>
      </c>
      <c r="BI115" s="66">
        <f t="shared" si="230"/>
        <v>0</v>
      </c>
      <c r="BJ115" s="66">
        <f t="shared" si="257"/>
        <v>0</v>
      </c>
      <c r="BK115" s="66">
        <f t="shared" si="258"/>
        <v>0</v>
      </c>
      <c r="BL115" s="66">
        <f t="shared" si="259"/>
        <v>0</v>
      </c>
      <c r="BM115" s="66">
        <f t="shared" si="260"/>
        <v>0</v>
      </c>
      <c r="BN115" s="66">
        <f t="shared" si="261"/>
        <v>0</v>
      </c>
      <c r="BO115" s="66">
        <f t="shared" si="262"/>
        <v>0</v>
      </c>
      <c r="BP115" s="66">
        <f t="shared" si="263"/>
        <v>0</v>
      </c>
      <c r="BQ115" s="66">
        <f t="shared" si="264"/>
        <v>0</v>
      </c>
      <c r="BR115" s="66">
        <f t="shared" si="265"/>
        <v>0</v>
      </c>
      <c r="BS115" s="66">
        <f t="shared" si="266"/>
        <v>0</v>
      </c>
      <c r="BT115" s="66">
        <f t="shared" si="267"/>
        <v>0</v>
      </c>
      <c r="BU115" s="66">
        <f t="shared" si="268"/>
        <v>0</v>
      </c>
      <c r="BV115" s="66">
        <f t="shared" si="269"/>
        <v>0</v>
      </c>
      <c r="BW115" s="66">
        <f t="shared" si="270"/>
        <v>0</v>
      </c>
      <c r="BX115" s="66">
        <f t="shared" si="271"/>
        <v>0</v>
      </c>
      <c r="BY115" s="66">
        <f t="shared" si="255"/>
        <v>0</v>
      </c>
      <c r="BZ115" s="66">
        <f t="shared" si="272"/>
        <v>0</v>
      </c>
      <c r="CA115" s="66"/>
      <c r="CB115" s="66">
        <f t="shared" si="273"/>
        <v>0</v>
      </c>
      <c r="CC115" s="22">
        <f t="shared" si="274"/>
        <v>0.41666666666666669</v>
      </c>
      <c r="CD115" s="66">
        <f t="shared" si="233"/>
        <v>2500000</v>
      </c>
      <c r="CE115" s="66"/>
      <c r="CF115" s="66"/>
      <c r="CG115" s="66"/>
      <c r="CH115" s="66"/>
      <c r="CI115" s="66"/>
      <c r="CJ115" s="66"/>
      <c r="CK115" s="66"/>
      <c r="CL115" s="66"/>
      <c r="CM115" s="66"/>
      <c r="CN115" s="66"/>
      <c r="CO115" s="66"/>
      <c r="CP115" s="66"/>
      <c r="CQ115" s="66"/>
      <c r="CR115" s="66"/>
      <c r="CS115" s="66"/>
      <c r="CT115" s="66"/>
      <c r="CU115" s="66"/>
      <c r="CV115" s="66"/>
      <c r="CW115" s="66"/>
      <c r="CX115" s="66">
        <f>+'[7]AGOSTO 2019'!$H$1091</f>
        <v>2500000</v>
      </c>
      <c r="CY115" s="66"/>
      <c r="CZ115" s="66"/>
      <c r="DA115" s="66"/>
      <c r="DB115" s="22">
        <f t="shared" si="214"/>
        <v>0.58333333333333326</v>
      </c>
      <c r="DC115" s="66">
        <f t="shared" si="189"/>
        <v>3500000</v>
      </c>
      <c r="DD115" s="66">
        <f t="shared" si="234"/>
        <v>0</v>
      </c>
      <c r="DE115" s="66">
        <f t="shared" si="235"/>
        <v>0</v>
      </c>
      <c r="DF115" s="66"/>
      <c r="DG115" s="66">
        <f t="shared" si="236"/>
        <v>0</v>
      </c>
      <c r="DH115" s="66">
        <f t="shared" si="237"/>
        <v>0</v>
      </c>
      <c r="DI115" s="66">
        <f t="shared" si="238"/>
        <v>0</v>
      </c>
      <c r="DJ115" s="66">
        <f t="shared" si="239"/>
        <v>0</v>
      </c>
      <c r="DK115" s="66">
        <f t="shared" si="240"/>
        <v>0</v>
      </c>
      <c r="DL115" s="66">
        <f t="shared" si="241"/>
        <v>0</v>
      </c>
      <c r="DM115" s="66">
        <f t="shared" si="242"/>
        <v>0</v>
      </c>
      <c r="DN115" s="66">
        <f t="shared" si="243"/>
        <v>0</v>
      </c>
      <c r="DO115" s="66">
        <f t="shared" si="244"/>
        <v>0</v>
      </c>
      <c r="DP115" s="66">
        <f t="shared" si="245"/>
        <v>0</v>
      </c>
      <c r="DQ115" s="66">
        <f t="shared" si="246"/>
        <v>0</v>
      </c>
      <c r="DR115" s="66">
        <f t="shared" si="247"/>
        <v>0</v>
      </c>
      <c r="DS115" s="66">
        <f t="shared" si="248"/>
        <v>0</v>
      </c>
      <c r="DT115" s="66">
        <f t="shared" si="249"/>
        <v>0</v>
      </c>
      <c r="DU115" s="66">
        <f t="shared" si="250"/>
        <v>0</v>
      </c>
      <c r="DV115" s="66">
        <f t="shared" si="251"/>
        <v>0</v>
      </c>
      <c r="DW115" s="66">
        <f t="shared" si="252"/>
        <v>3500000</v>
      </c>
      <c r="DX115" s="66">
        <f t="shared" si="253"/>
        <v>0</v>
      </c>
      <c r="DY115" s="66"/>
      <c r="DZ115" s="66">
        <f t="shared" si="254"/>
        <v>0</v>
      </c>
      <c r="EB115" s="9">
        <f t="shared" si="215"/>
        <v>6000000</v>
      </c>
      <c r="EC115" s="9">
        <f t="shared" si="216"/>
        <v>6000000</v>
      </c>
      <c r="ED115" s="9">
        <f t="shared" si="217"/>
        <v>6000000</v>
      </c>
    </row>
    <row r="116" spans="1:136" ht="26.4" customHeight="1" x14ac:dyDescent="0.3">
      <c r="A116" s="224"/>
      <c r="B116" s="91" t="s">
        <v>90</v>
      </c>
      <c r="C116" s="70" t="s">
        <v>89</v>
      </c>
      <c r="D116" s="71" t="s">
        <v>88</v>
      </c>
      <c r="E116" s="87">
        <v>301</v>
      </c>
      <c r="F116" s="67" t="s">
        <v>21</v>
      </c>
      <c r="G116" s="66">
        <f t="shared" si="226"/>
        <v>1564414901</v>
      </c>
      <c r="H116" s="66">
        <v>328968376</v>
      </c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  <c r="AA116" s="66">
        <v>1235446525</v>
      </c>
      <c r="AB116" s="66"/>
      <c r="AC116" s="66"/>
      <c r="AD116" s="66"/>
      <c r="AE116" s="22">
        <f t="shared" si="211"/>
        <v>0.99988423978838081</v>
      </c>
      <c r="AF116" s="66">
        <f t="shared" si="227"/>
        <v>1564233804</v>
      </c>
      <c r="AG116" s="66">
        <f>+'[9]ENERO 2019'!$J$303</f>
        <v>328965376</v>
      </c>
      <c r="AH116" s="66"/>
      <c r="AI116" s="66"/>
      <c r="AJ116" s="66"/>
      <c r="AK116" s="66"/>
      <c r="AL116" s="66"/>
      <c r="AM116" s="66"/>
      <c r="AN116" s="66"/>
      <c r="AO116" s="66"/>
      <c r="AP116" s="66"/>
      <c r="AQ116" s="66"/>
      <c r="AR116" s="66"/>
      <c r="AS116" s="66"/>
      <c r="AT116" s="66"/>
      <c r="AU116" s="66"/>
      <c r="AV116" s="66"/>
      <c r="AW116" s="66"/>
      <c r="AX116" s="66"/>
      <c r="AY116" s="66"/>
      <c r="AZ116" s="66">
        <f>+'[1]OCTUBRE 2019'!$AC$1474</f>
        <v>1235268428</v>
      </c>
      <c r="BA116" s="66"/>
      <c r="BB116" s="66"/>
      <c r="BC116" s="66"/>
      <c r="BD116" s="22">
        <f t="shared" si="212"/>
        <v>1.1576021161918693E-4</v>
      </c>
      <c r="BE116" s="66">
        <f t="shared" si="228"/>
        <v>181097</v>
      </c>
      <c r="BF116" s="66">
        <f t="shared" si="256"/>
        <v>3000</v>
      </c>
      <c r="BG116" s="66">
        <f t="shared" si="256"/>
        <v>0</v>
      </c>
      <c r="BH116" s="66">
        <f t="shared" si="256"/>
        <v>0</v>
      </c>
      <c r="BI116" s="66">
        <f t="shared" si="230"/>
        <v>0</v>
      </c>
      <c r="BJ116" s="66">
        <f t="shared" si="257"/>
        <v>0</v>
      </c>
      <c r="BK116" s="66">
        <f t="shared" si="258"/>
        <v>0</v>
      </c>
      <c r="BL116" s="66">
        <f t="shared" si="259"/>
        <v>0</v>
      </c>
      <c r="BM116" s="66">
        <f t="shared" si="260"/>
        <v>0</v>
      </c>
      <c r="BN116" s="66">
        <f t="shared" si="261"/>
        <v>0</v>
      </c>
      <c r="BO116" s="66">
        <f t="shared" si="262"/>
        <v>0</v>
      </c>
      <c r="BP116" s="66">
        <f t="shared" si="263"/>
        <v>0</v>
      </c>
      <c r="BQ116" s="66">
        <f t="shared" si="264"/>
        <v>0</v>
      </c>
      <c r="BR116" s="66">
        <f t="shared" si="265"/>
        <v>0</v>
      </c>
      <c r="BS116" s="66">
        <f t="shared" si="266"/>
        <v>0</v>
      </c>
      <c r="BT116" s="66">
        <f t="shared" si="267"/>
        <v>0</v>
      </c>
      <c r="BU116" s="66">
        <f t="shared" si="268"/>
        <v>0</v>
      </c>
      <c r="BV116" s="66">
        <f t="shared" si="269"/>
        <v>0</v>
      </c>
      <c r="BW116" s="66">
        <f t="shared" si="270"/>
        <v>0</v>
      </c>
      <c r="BX116" s="66">
        <f t="shared" si="271"/>
        <v>0</v>
      </c>
      <c r="BY116" s="66">
        <f t="shared" si="255"/>
        <v>178097</v>
      </c>
      <c r="BZ116" s="66">
        <f t="shared" si="272"/>
        <v>0</v>
      </c>
      <c r="CA116" s="66"/>
      <c r="CB116" s="66">
        <f t="shared" si="273"/>
        <v>0</v>
      </c>
      <c r="CC116" s="22">
        <f t="shared" si="274"/>
        <v>0.99391846690163943</v>
      </c>
      <c r="CD116" s="66">
        <f t="shared" si="233"/>
        <v>1554900860</v>
      </c>
      <c r="CE116" s="66">
        <f>+'[5]MARZO 2019'!$H$440</f>
        <v>328965376</v>
      </c>
      <c r="CF116" s="66"/>
      <c r="CG116" s="66"/>
      <c r="CH116" s="66"/>
      <c r="CI116" s="66"/>
      <c r="CJ116" s="66"/>
      <c r="CK116" s="66"/>
      <c r="CL116" s="66"/>
      <c r="CM116" s="66"/>
      <c r="CN116" s="66"/>
      <c r="CO116" s="66"/>
      <c r="CP116" s="66"/>
      <c r="CQ116" s="66"/>
      <c r="CR116" s="66"/>
      <c r="CS116" s="66"/>
      <c r="CT116" s="66"/>
      <c r="CU116" s="66"/>
      <c r="CV116" s="66"/>
      <c r="CW116" s="66"/>
      <c r="CX116" s="66">
        <f>+'[7]AGOSTO 2019'!$H$1107+'[7]AGOSTO 2019'!$H$1117</f>
        <v>1225935484</v>
      </c>
      <c r="CY116" s="66"/>
      <c r="CZ116" s="66"/>
      <c r="DA116" s="66"/>
      <c r="DB116" s="22">
        <f t="shared" si="214"/>
        <v>6.0815330983605698E-3</v>
      </c>
      <c r="DC116" s="66">
        <f t="shared" si="189"/>
        <v>9514041</v>
      </c>
      <c r="DD116" s="66">
        <f t="shared" si="234"/>
        <v>3000</v>
      </c>
      <c r="DE116" s="66">
        <f t="shared" si="235"/>
        <v>0</v>
      </c>
      <c r="DF116" s="66">
        <f>J116-CG116</f>
        <v>0</v>
      </c>
      <c r="DG116" s="66">
        <f t="shared" si="236"/>
        <v>0</v>
      </c>
      <c r="DH116" s="66">
        <f t="shared" si="237"/>
        <v>0</v>
      </c>
      <c r="DI116" s="66">
        <f t="shared" si="238"/>
        <v>0</v>
      </c>
      <c r="DJ116" s="66">
        <f t="shared" si="239"/>
        <v>0</v>
      </c>
      <c r="DK116" s="66">
        <f t="shared" si="240"/>
        <v>0</v>
      </c>
      <c r="DL116" s="66">
        <f t="shared" si="241"/>
        <v>0</v>
      </c>
      <c r="DM116" s="66">
        <f t="shared" si="242"/>
        <v>0</v>
      </c>
      <c r="DN116" s="66">
        <f t="shared" si="243"/>
        <v>0</v>
      </c>
      <c r="DO116" s="66">
        <f t="shared" si="244"/>
        <v>0</v>
      </c>
      <c r="DP116" s="66">
        <f t="shared" si="245"/>
        <v>0</v>
      </c>
      <c r="DQ116" s="66">
        <f t="shared" si="246"/>
        <v>0</v>
      </c>
      <c r="DR116" s="66">
        <f t="shared" si="247"/>
        <v>0</v>
      </c>
      <c r="DS116" s="66">
        <f t="shared" si="248"/>
        <v>0</v>
      </c>
      <c r="DT116" s="66">
        <f t="shared" si="249"/>
        <v>0</v>
      </c>
      <c r="DU116" s="66">
        <f t="shared" si="250"/>
        <v>0</v>
      </c>
      <c r="DV116" s="66">
        <f t="shared" si="251"/>
        <v>0</v>
      </c>
      <c r="DW116" s="66">
        <f t="shared" si="252"/>
        <v>9511041</v>
      </c>
      <c r="DX116" s="66">
        <f t="shared" si="253"/>
        <v>0</v>
      </c>
      <c r="DY116" s="66"/>
      <c r="DZ116" s="66">
        <f t="shared" si="254"/>
        <v>0</v>
      </c>
      <c r="EB116" s="9">
        <f t="shared" si="215"/>
        <v>1564414901</v>
      </c>
      <c r="EC116" s="9">
        <f t="shared" si="216"/>
        <v>1564414901</v>
      </c>
      <c r="ED116" s="9">
        <f t="shared" si="217"/>
        <v>1564414901</v>
      </c>
    </row>
    <row r="117" spans="1:136" ht="16.8" customHeight="1" x14ac:dyDescent="0.3">
      <c r="A117" s="89"/>
      <c r="B117" s="90" t="s">
        <v>87</v>
      </c>
      <c r="C117" s="70" t="s">
        <v>86</v>
      </c>
      <c r="D117" s="88" t="s">
        <v>85</v>
      </c>
      <c r="E117" s="87">
        <v>301</v>
      </c>
      <c r="F117" s="67" t="s">
        <v>21</v>
      </c>
      <c r="G117" s="66">
        <f t="shared" si="226"/>
        <v>681816144</v>
      </c>
      <c r="H117" s="86"/>
      <c r="I117" s="86"/>
      <c r="J117" s="86"/>
      <c r="K117" s="66">
        <v>681816144</v>
      </c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66"/>
      <c r="AB117" s="86"/>
      <c r="AC117" s="86"/>
      <c r="AD117" s="86"/>
      <c r="AE117" s="22">
        <f t="shared" si="211"/>
        <v>1</v>
      </c>
      <c r="AF117" s="66">
        <f t="shared" si="227"/>
        <v>681816144</v>
      </c>
      <c r="AG117" s="86"/>
      <c r="AH117" s="86"/>
      <c r="AI117" s="86"/>
      <c r="AJ117" s="86">
        <f>+'[2]SEPTIEMBRE 2019'!$L$1407</f>
        <v>681816144</v>
      </c>
      <c r="AK117" s="86"/>
      <c r="AL117" s="86"/>
      <c r="AM117" s="86"/>
      <c r="AN117" s="86"/>
      <c r="AO117" s="86"/>
      <c r="AP117" s="86"/>
      <c r="AQ117" s="86"/>
      <c r="AR117" s="86"/>
      <c r="AS117" s="86"/>
      <c r="AT117" s="86"/>
      <c r="AU117" s="86"/>
      <c r="AV117" s="86"/>
      <c r="AW117" s="86"/>
      <c r="AX117" s="86"/>
      <c r="AY117" s="86"/>
      <c r="AZ117" s="86"/>
      <c r="BA117" s="86"/>
      <c r="BB117" s="86"/>
      <c r="BC117" s="86"/>
      <c r="BD117" s="22">
        <f t="shared" si="212"/>
        <v>0</v>
      </c>
      <c r="BE117" s="66">
        <f t="shared" si="228"/>
        <v>0</v>
      </c>
      <c r="BF117" s="66"/>
      <c r="BG117" s="66"/>
      <c r="BH117" s="66"/>
      <c r="BI117" s="66">
        <f t="shared" si="230"/>
        <v>0</v>
      </c>
      <c r="BJ117" s="66">
        <f t="shared" si="257"/>
        <v>0</v>
      </c>
      <c r="BK117" s="66">
        <f t="shared" si="258"/>
        <v>0</v>
      </c>
      <c r="BL117" s="66">
        <f t="shared" si="259"/>
        <v>0</v>
      </c>
      <c r="BM117" s="66">
        <f t="shared" si="260"/>
        <v>0</v>
      </c>
      <c r="BN117" s="66">
        <f t="shared" si="261"/>
        <v>0</v>
      </c>
      <c r="BO117" s="66">
        <f t="shared" si="262"/>
        <v>0</v>
      </c>
      <c r="BP117" s="66">
        <f t="shared" si="263"/>
        <v>0</v>
      </c>
      <c r="BQ117" s="66">
        <f t="shared" si="264"/>
        <v>0</v>
      </c>
      <c r="BR117" s="66">
        <f t="shared" si="265"/>
        <v>0</v>
      </c>
      <c r="BS117" s="66">
        <f t="shared" si="266"/>
        <v>0</v>
      </c>
      <c r="BT117" s="66">
        <f t="shared" si="267"/>
        <v>0</v>
      </c>
      <c r="BU117" s="66">
        <f t="shared" si="268"/>
        <v>0</v>
      </c>
      <c r="BV117" s="66">
        <f t="shared" si="269"/>
        <v>0</v>
      </c>
      <c r="BW117" s="66">
        <f t="shared" si="270"/>
        <v>0</v>
      </c>
      <c r="BX117" s="66">
        <f t="shared" si="271"/>
        <v>0</v>
      </c>
      <c r="BY117" s="66">
        <f t="shared" si="255"/>
        <v>0</v>
      </c>
      <c r="BZ117" s="66">
        <f t="shared" si="272"/>
        <v>0</v>
      </c>
      <c r="CA117" s="66"/>
      <c r="CB117" s="66">
        <f t="shared" si="273"/>
        <v>0</v>
      </c>
      <c r="CC117" s="22">
        <f t="shared" si="274"/>
        <v>0.15980746269921117</v>
      </c>
      <c r="CD117" s="66">
        <f t="shared" si="233"/>
        <v>108959308</v>
      </c>
      <c r="CE117" s="86"/>
      <c r="CF117" s="86"/>
      <c r="CG117" s="86"/>
      <c r="CH117" s="86">
        <f>+'[1]OCTUBRE 2019'!$H$1544</f>
        <v>108959308</v>
      </c>
      <c r="CI117" s="86"/>
      <c r="CJ117" s="86"/>
      <c r="CK117" s="86"/>
      <c r="CL117" s="86"/>
      <c r="CM117" s="86"/>
      <c r="CN117" s="86"/>
      <c r="CO117" s="86"/>
      <c r="CP117" s="86"/>
      <c r="CQ117" s="86"/>
      <c r="CR117" s="86"/>
      <c r="CS117" s="86"/>
      <c r="CT117" s="86"/>
      <c r="CU117" s="86"/>
      <c r="CV117" s="86"/>
      <c r="CW117" s="86"/>
      <c r="CX117" s="86"/>
      <c r="CY117" s="86"/>
      <c r="CZ117" s="86"/>
      <c r="DA117" s="86"/>
      <c r="DB117" s="22">
        <f t="shared" si="214"/>
        <v>0.8401925373007888</v>
      </c>
      <c r="DC117" s="66">
        <f t="shared" si="189"/>
        <v>572856836</v>
      </c>
      <c r="DD117" s="66"/>
      <c r="DE117" s="66"/>
      <c r="DF117" s="66"/>
      <c r="DG117" s="66">
        <f>K117-CH117</f>
        <v>572856836</v>
      </c>
      <c r="DH117" s="66"/>
      <c r="DI117" s="66"/>
      <c r="DJ117" s="66"/>
      <c r="DK117" s="66"/>
      <c r="DL117" s="66"/>
      <c r="DM117" s="66"/>
      <c r="DN117" s="66"/>
      <c r="DO117" s="66"/>
      <c r="DP117" s="66"/>
      <c r="DQ117" s="66"/>
      <c r="DR117" s="66"/>
      <c r="DS117" s="66"/>
      <c r="DT117" s="66"/>
      <c r="DU117" s="66"/>
      <c r="DV117" s="66"/>
      <c r="DW117" s="66"/>
      <c r="DX117" s="66"/>
      <c r="DY117" s="66"/>
      <c r="DZ117" s="66"/>
      <c r="EB117" s="9">
        <f t="shared" si="215"/>
        <v>681816144</v>
      </c>
      <c r="EC117" s="9">
        <f t="shared" si="216"/>
        <v>681816144</v>
      </c>
      <c r="ED117" s="9">
        <f t="shared" si="217"/>
        <v>681816144</v>
      </c>
    </row>
    <row r="118" spans="1:136" ht="18.600000000000001" customHeight="1" x14ac:dyDescent="0.3">
      <c r="A118" s="89"/>
      <c r="B118" s="226" t="s">
        <v>84</v>
      </c>
      <c r="C118" s="70" t="s">
        <v>83</v>
      </c>
      <c r="D118" s="88" t="s">
        <v>82</v>
      </c>
      <c r="E118" s="87">
        <v>301</v>
      </c>
      <c r="F118" s="67" t="s">
        <v>21</v>
      </c>
      <c r="G118" s="66">
        <f t="shared" si="226"/>
        <v>100000000</v>
      </c>
      <c r="H118" s="86">
        <v>15000000</v>
      </c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86"/>
      <c r="U118" s="86"/>
      <c r="V118" s="86"/>
      <c r="W118" s="86"/>
      <c r="X118" s="86"/>
      <c r="Y118" s="86"/>
      <c r="Z118" s="86"/>
      <c r="AA118" s="66">
        <v>85000000</v>
      </c>
      <c r="AB118" s="86"/>
      <c r="AC118" s="86"/>
      <c r="AD118" s="86"/>
      <c r="AE118" s="22">
        <f t="shared" ref="AE118:AE142" si="275">+AF118/G118</f>
        <v>1</v>
      </c>
      <c r="AF118" s="66">
        <f t="shared" si="227"/>
        <v>100000000</v>
      </c>
      <c r="AG118" s="86">
        <f>+'[11]JULIO 2019'!$J$1030</f>
        <v>15000000</v>
      </c>
      <c r="AH118" s="86"/>
      <c r="AI118" s="86"/>
      <c r="AJ118" s="86"/>
      <c r="AK118" s="86"/>
      <c r="AL118" s="86"/>
      <c r="AM118" s="86"/>
      <c r="AN118" s="86"/>
      <c r="AO118" s="86"/>
      <c r="AP118" s="86"/>
      <c r="AQ118" s="86"/>
      <c r="AR118" s="86"/>
      <c r="AS118" s="86"/>
      <c r="AT118" s="86"/>
      <c r="AU118" s="86"/>
      <c r="AV118" s="86"/>
      <c r="AW118" s="86"/>
      <c r="AX118" s="86"/>
      <c r="AY118" s="86"/>
      <c r="AZ118" s="86">
        <f>+'[7]AGOSTO 2019'!$AB$1145</f>
        <v>85000000</v>
      </c>
      <c r="BA118" s="86"/>
      <c r="BB118" s="86"/>
      <c r="BC118" s="86"/>
      <c r="BD118" s="22">
        <f t="shared" si="212"/>
        <v>0</v>
      </c>
      <c r="BE118" s="66">
        <f t="shared" si="228"/>
        <v>0</v>
      </c>
      <c r="BF118" s="66">
        <f t="shared" ref="BF118:BH120" si="276">H118-AG118</f>
        <v>0</v>
      </c>
      <c r="BG118" s="66">
        <f t="shared" si="276"/>
        <v>0</v>
      </c>
      <c r="BH118" s="66">
        <f t="shared" si="276"/>
        <v>0</v>
      </c>
      <c r="BI118" s="66">
        <f t="shared" si="230"/>
        <v>0</v>
      </c>
      <c r="BJ118" s="66">
        <f t="shared" si="257"/>
        <v>0</v>
      </c>
      <c r="BK118" s="66">
        <f t="shared" si="258"/>
        <v>0</v>
      </c>
      <c r="BL118" s="66">
        <f t="shared" si="259"/>
        <v>0</v>
      </c>
      <c r="BM118" s="66">
        <f t="shared" si="260"/>
        <v>0</v>
      </c>
      <c r="BN118" s="66">
        <f t="shared" si="261"/>
        <v>0</v>
      </c>
      <c r="BO118" s="66">
        <f t="shared" si="262"/>
        <v>0</v>
      </c>
      <c r="BP118" s="66">
        <f t="shared" si="263"/>
        <v>0</v>
      </c>
      <c r="BQ118" s="66">
        <f t="shared" si="264"/>
        <v>0</v>
      </c>
      <c r="BR118" s="66">
        <f t="shared" si="265"/>
        <v>0</v>
      </c>
      <c r="BS118" s="66">
        <f t="shared" si="266"/>
        <v>0</v>
      </c>
      <c r="BT118" s="66">
        <f t="shared" si="267"/>
        <v>0</v>
      </c>
      <c r="BU118" s="66">
        <f t="shared" si="268"/>
        <v>0</v>
      </c>
      <c r="BV118" s="66">
        <f t="shared" si="269"/>
        <v>0</v>
      </c>
      <c r="BW118" s="66">
        <f t="shared" si="270"/>
        <v>0</v>
      </c>
      <c r="BX118" s="66">
        <f t="shared" si="271"/>
        <v>0</v>
      </c>
      <c r="BY118" s="66">
        <f t="shared" si="255"/>
        <v>0</v>
      </c>
      <c r="BZ118" s="66">
        <f t="shared" si="272"/>
        <v>0</v>
      </c>
      <c r="CA118" s="66"/>
      <c r="CB118" s="66">
        <f t="shared" si="273"/>
        <v>0</v>
      </c>
      <c r="CC118" s="22">
        <f t="shared" si="274"/>
        <v>0.73946665</v>
      </c>
      <c r="CD118" s="66">
        <f t="shared" si="233"/>
        <v>73946665</v>
      </c>
      <c r="CE118" s="86">
        <f>+'[7]AGOSTO 2019'!$H$1163</f>
        <v>15000000</v>
      </c>
      <c r="CF118" s="86"/>
      <c r="CG118" s="86"/>
      <c r="CH118" s="86"/>
      <c r="CI118" s="86"/>
      <c r="CJ118" s="86"/>
      <c r="CK118" s="86"/>
      <c r="CL118" s="86"/>
      <c r="CM118" s="86"/>
      <c r="CN118" s="86"/>
      <c r="CO118" s="86"/>
      <c r="CP118" s="86"/>
      <c r="CQ118" s="86"/>
      <c r="CR118" s="86"/>
      <c r="CS118" s="86"/>
      <c r="CT118" s="86"/>
      <c r="CU118" s="86"/>
      <c r="CV118" s="86"/>
      <c r="CW118" s="86"/>
      <c r="CX118" s="86">
        <f>+'[2]SEPTIEMBRE 2019'!$H$1378+'[2]SEPTIEMBRE 2019'!$H$1389-2</f>
        <v>58946665</v>
      </c>
      <c r="CY118" s="86"/>
      <c r="CZ118" s="86"/>
      <c r="DA118" s="86"/>
      <c r="DB118" s="22">
        <f t="shared" si="214"/>
        <v>0.26053335</v>
      </c>
      <c r="DC118" s="66">
        <f t="shared" si="189"/>
        <v>26053335</v>
      </c>
      <c r="DD118" s="66">
        <f t="shared" ref="DD118:DE120" si="277">H118-CE118</f>
        <v>0</v>
      </c>
      <c r="DE118" s="66">
        <f t="shared" si="277"/>
        <v>0</v>
      </c>
      <c r="DF118" s="66"/>
      <c r="DG118" s="66">
        <f>K118-CH118</f>
        <v>0</v>
      </c>
      <c r="DH118" s="66">
        <f t="shared" ref="DH118:DQ120" si="278">L118-CI118</f>
        <v>0</v>
      </c>
      <c r="DI118" s="66">
        <f t="shared" si="278"/>
        <v>0</v>
      </c>
      <c r="DJ118" s="66">
        <f t="shared" si="278"/>
        <v>0</v>
      </c>
      <c r="DK118" s="66">
        <f t="shared" si="278"/>
        <v>0</v>
      </c>
      <c r="DL118" s="66">
        <f t="shared" si="278"/>
        <v>0</v>
      </c>
      <c r="DM118" s="66">
        <f t="shared" si="278"/>
        <v>0</v>
      </c>
      <c r="DN118" s="66">
        <f t="shared" si="278"/>
        <v>0</v>
      </c>
      <c r="DO118" s="66">
        <f t="shared" si="278"/>
        <v>0</v>
      </c>
      <c r="DP118" s="66">
        <f t="shared" si="278"/>
        <v>0</v>
      </c>
      <c r="DQ118" s="66">
        <f t="shared" si="278"/>
        <v>0</v>
      </c>
      <c r="DR118" s="66">
        <f t="shared" ref="DR118:DX120" si="279">V118-CS118</f>
        <v>0</v>
      </c>
      <c r="DS118" s="66">
        <f t="shared" si="279"/>
        <v>0</v>
      </c>
      <c r="DT118" s="66">
        <f t="shared" si="279"/>
        <v>0</v>
      </c>
      <c r="DU118" s="66">
        <f t="shared" si="279"/>
        <v>0</v>
      </c>
      <c r="DV118" s="66">
        <f t="shared" si="279"/>
        <v>0</v>
      </c>
      <c r="DW118" s="66">
        <f t="shared" si="279"/>
        <v>26053335</v>
      </c>
      <c r="DX118" s="66">
        <f t="shared" si="279"/>
        <v>0</v>
      </c>
      <c r="DY118" s="66"/>
      <c r="DZ118" s="66">
        <f>AD118-DA118</f>
        <v>0</v>
      </c>
      <c r="EB118" s="9">
        <f t="shared" si="215"/>
        <v>100000000</v>
      </c>
      <c r="EC118" s="9">
        <f t="shared" si="216"/>
        <v>100000000</v>
      </c>
      <c r="ED118" s="9">
        <f t="shared" si="217"/>
        <v>100000000</v>
      </c>
    </row>
    <row r="119" spans="1:136" ht="27.6" customHeight="1" x14ac:dyDescent="0.3">
      <c r="A119" s="89"/>
      <c r="B119" s="227"/>
      <c r="C119" s="70" t="s">
        <v>81</v>
      </c>
      <c r="D119" s="88" t="s">
        <v>80</v>
      </c>
      <c r="E119" s="87">
        <v>301</v>
      </c>
      <c r="F119" s="67" t="s">
        <v>21</v>
      </c>
      <c r="G119" s="66">
        <f t="shared" si="226"/>
        <v>56000000</v>
      </c>
      <c r="H119" s="86">
        <v>8000000</v>
      </c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66">
        <v>48000000</v>
      </c>
      <c r="AB119" s="86"/>
      <c r="AC119" s="86"/>
      <c r="AD119" s="86"/>
      <c r="AE119" s="22">
        <f t="shared" si="275"/>
        <v>1</v>
      </c>
      <c r="AF119" s="66">
        <f t="shared" si="227"/>
        <v>56000000</v>
      </c>
      <c r="AG119" s="86">
        <f>+'[11]JULIO 2019'!$J$1051</f>
        <v>8000000</v>
      </c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  <c r="AT119" s="86"/>
      <c r="AU119" s="86"/>
      <c r="AV119" s="86"/>
      <c r="AW119" s="86"/>
      <c r="AX119" s="86"/>
      <c r="AY119" s="86"/>
      <c r="AZ119" s="86">
        <f>+'[6]MAYO 2019'!$AB$711</f>
        <v>48000000</v>
      </c>
      <c r="BA119" s="86"/>
      <c r="BB119" s="86"/>
      <c r="BC119" s="86"/>
      <c r="BD119" s="22">
        <f t="shared" si="212"/>
        <v>0</v>
      </c>
      <c r="BE119" s="66">
        <f t="shared" si="228"/>
        <v>0</v>
      </c>
      <c r="BF119" s="66">
        <f t="shared" si="276"/>
        <v>0</v>
      </c>
      <c r="BG119" s="66">
        <f t="shared" si="276"/>
        <v>0</v>
      </c>
      <c r="BH119" s="66">
        <f t="shared" si="276"/>
        <v>0</v>
      </c>
      <c r="BI119" s="66">
        <f t="shared" si="230"/>
        <v>0</v>
      </c>
      <c r="BJ119" s="66">
        <f t="shared" si="257"/>
        <v>0</v>
      </c>
      <c r="BK119" s="66">
        <f t="shared" si="258"/>
        <v>0</v>
      </c>
      <c r="BL119" s="66">
        <f t="shared" si="259"/>
        <v>0</v>
      </c>
      <c r="BM119" s="66">
        <f t="shared" si="260"/>
        <v>0</v>
      </c>
      <c r="BN119" s="66">
        <f t="shared" si="261"/>
        <v>0</v>
      </c>
      <c r="BO119" s="66">
        <f t="shared" si="262"/>
        <v>0</v>
      </c>
      <c r="BP119" s="66">
        <f t="shared" si="263"/>
        <v>0</v>
      </c>
      <c r="BQ119" s="66">
        <f t="shared" si="264"/>
        <v>0</v>
      </c>
      <c r="BR119" s="66">
        <f t="shared" si="265"/>
        <v>0</v>
      </c>
      <c r="BS119" s="66">
        <f t="shared" si="266"/>
        <v>0</v>
      </c>
      <c r="BT119" s="66">
        <f t="shared" si="267"/>
        <v>0</v>
      </c>
      <c r="BU119" s="66">
        <f t="shared" si="268"/>
        <v>0</v>
      </c>
      <c r="BV119" s="66">
        <f t="shared" si="269"/>
        <v>0</v>
      </c>
      <c r="BW119" s="66">
        <f t="shared" si="270"/>
        <v>0</v>
      </c>
      <c r="BX119" s="66">
        <f t="shared" si="271"/>
        <v>0</v>
      </c>
      <c r="BY119" s="66">
        <f t="shared" si="255"/>
        <v>0</v>
      </c>
      <c r="BZ119" s="66">
        <f t="shared" si="272"/>
        <v>0</v>
      </c>
      <c r="CA119" s="66"/>
      <c r="CB119" s="66">
        <f t="shared" si="273"/>
        <v>0</v>
      </c>
      <c r="CC119" s="22">
        <f t="shared" si="274"/>
        <v>0.99999996428571425</v>
      </c>
      <c r="CD119" s="66">
        <f t="shared" si="233"/>
        <v>55999998</v>
      </c>
      <c r="CE119" s="86">
        <f>+'[1]OCTUBRE 2019'!$H$1602</f>
        <v>8000000</v>
      </c>
      <c r="CF119" s="86"/>
      <c r="CG119" s="86"/>
      <c r="CH119" s="86"/>
      <c r="CI119" s="86"/>
      <c r="CJ119" s="86"/>
      <c r="CK119" s="86"/>
      <c r="CL119" s="86"/>
      <c r="CM119" s="86"/>
      <c r="CN119" s="86"/>
      <c r="CO119" s="86"/>
      <c r="CP119" s="86"/>
      <c r="CQ119" s="86"/>
      <c r="CR119" s="86"/>
      <c r="CS119" s="86"/>
      <c r="CT119" s="86"/>
      <c r="CU119" s="86"/>
      <c r="CV119" s="86"/>
      <c r="CW119" s="86"/>
      <c r="CX119" s="86">
        <f>+'[2]SEPTIEMBRE 2019'!$H$1418+'[2]SEPTIEMBRE 2019'!$H$1429+'[2]SEPTIEMBRE 2019'!$H$1432+'[2]SEPTIEMBRE 2019'!$H$1442-2</f>
        <v>47999998</v>
      </c>
      <c r="CY119" s="86"/>
      <c r="CZ119" s="86"/>
      <c r="DA119" s="86"/>
      <c r="DB119" s="22">
        <f t="shared" si="214"/>
        <v>3.5714285750998442E-8</v>
      </c>
      <c r="DC119" s="66">
        <f t="shared" si="189"/>
        <v>2</v>
      </c>
      <c r="DD119" s="66">
        <f t="shared" si="277"/>
        <v>0</v>
      </c>
      <c r="DE119" s="66">
        <f t="shared" si="277"/>
        <v>0</v>
      </c>
      <c r="DF119" s="66"/>
      <c r="DG119" s="66">
        <f>K119-CH119</f>
        <v>0</v>
      </c>
      <c r="DH119" s="66">
        <f t="shared" si="278"/>
        <v>0</v>
      </c>
      <c r="DI119" s="66">
        <f t="shared" si="278"/>
        <v>0</v>
      </c>
      <c r="DJ119" s="66">
        <f t="shared" si="278"/>
        <v>0</v>
      </c>
      <c r="DK119" s="66">
        <f t="shared" si="278"/>
        <v>0</v>
      </c>
      <c r="DL119" s="66">
        <f t="shared" si="278"/>
        <v>0</v>
      </c>
      <c r="DM119" s="66">
        <f t="shared" si="278"/>
        <v>0</v>
      </c>
      <c r="DN119" s="66">
        <f t="shared" si="278"/>
        <v>0</v>
      </c>
      <c r="DO119" s="66">
        <f t="shared" si="278"/>
        <v>0</v>
      </c>
      <c r="DP119" s="66">
        <f t="shared" si="278"/>
        <v>0</v>
      </c>
      <c r="DQ119" s="66">
        <f t="shared" si="278"/>
        <v>0</v>
      </c>
      <c r="DR119" s="66">
        <f t="shared" si="279"/>
        <v>0</v>
      </c>
      <c r="DS119" s="66">
        <f t="shared" si="279"/>
        <v>0</v>
      </c>
      <c r="DT119" s="66">
        <f t="shared" si="279"/>
        <v>0</v>
      </c>
      <c r="DU119" s="66">
        <f t="shared" si="279"/>
        <v>0</v>
      </c>
      <c r="DV119" s="66">
        <f t="shared" si="279"/>
        <v>0</v>
      </c>
      <c r="DW119" s="66">
        <f t="shared" si="279"/>
        <v>2</v>
      </c>
      <c r="DX119" s="66">
        <f t="shared" si="279"/>
        <v>0</v>
      </c>
      <c r="DY119" s="66"/>
      <c r="DZ119" s="66">
        <f>AD119-DA119</f>
        <v>0</v>
      </c>
      <c r="EB119" s="9">
        <f t="shared" si="215"/>
        <v>56000000</v>
      </c>
      <c r="EC119" s="9">
        <f t="shared" si="216"/>
        <v>56000000</v>
      </c>
      <c r="ED119" s="9">
        <f t="shared" si="217"/>
        <v>56000000</v>
      </c>
    </row>
    <row r="120" spans="1:136" ht="27" customHeight="1" x14ac:dyDescent="0.3">
      <c r="A120" s="89"/>
      <c r="B120" s="228"/>
      <c r="C120" s="70" t="s">
        <v>79</v>
      </c>
      <c r="D120" s="88" t="s">
        <v>78</v>
      </c>
      <c r="E120" s="87">
        <v>301</v>
      </c>
      <c r="F120" s="67" t="s">
        <v>21</v>
      </c>
      <c r="G120" s="66">
        <f t="shared" si="226"/>
        <v>53000000</v>
      </c>
      <c r="H120" s="86">
        <v>13000000</v>
      </c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6"/>
      <c r="U120" s="86"/>
      <c r="V120" s="86"/>
      <c r="W120" s="86"/>
      <c r="X120" s="86"/>
      <c r="Y120" s="86"/>
      <c r="Z120" s="86"/>
      <c r="AA120" s="66">
        <v>40000000</v>
      </c>
      <c r="AB120" s="86"/>
      <c r="AC120" s="86"/>
      <c r="AD120" s="86"/>
      <c r="AE120" s="22">
        <f t="shared" si="275"/>
        <v>1</v>
      </c>
      <c r="AF120" s="66">
        <f t="shared" si="227"/>
        <v>53000000</v>
      </c>
      <c r="AG120" s="86">
        <f>+'[11]JULIO 2019'!$J$1072</f>
        <v>13000000</v>
      </c>
      <c r="AH120" s="86"/>
      <c r="AI120" s="86"/>
      <c r="AJ120" s="86"/>
      <c r="AK120" s="86"/>
      <c r="AL120" s="86"/>
      <c r="AM120" s="86"/>
      <c r="AN120" s="86"/>
      <c r="AO120" s="86"/>
      <c r="AP120" s="86"/>
      <c r="AQ120" s="86"/>
      <c r="AR120" s="86"/>
      <c r="AS120" s="86"/>
      <c r="AT120" s="86"/>
      <c r="AU120" s="86"/>
      <c r="AV120" s="86"/>
      <c r="AW120" s="86"/>
      <c r="AX120" s="86"/>
      <c r="AY120" s="86"/>
      <c r="AZ120" s="86">
        <f>+'[9]ENERO 2019'!$AB$344</f>
        <v>40000000</v>
      </c>
      <c r="BA120" s="86"/>
      <c r="BB120" s="86"/>
      <c r="BC120" s="86"/>
      <c r="BD120" s="22">
        <f t="shared" si="212"/>
        <v>0</v>
      </c>
      <c r="BE120" s="66">
        <f t="shared" si="228"/>
        <v>0</v>
      </c>
      <c r="BF120" s="66">
        <f t="shared" si="276"/>
        <v>0</v>
      </c>
      <c r="BG120" s="66">
        <f t="shared" si="276"/>
        <v>0</v>
      </c>
      <c r="BH120" s="66">
        <f t="shared" si="276"/>
        <v>0</v>
      </c>
      <c r="BI120" s="66">
        <f t="shared" si="230"/>
        <v>0</v>
      </c>
      <c r="BJ120" s="66">
        <f t="shared" si="257"/>
        <v>0</v>
      </c>
      <c r="BK120" s="66">
        <f t="shared" si="258"/>
        <v>0</v>
      </c>
      <c r="BL120" s="66">
        <f t="shared" si="259"/>
        <v>0</v>
      </c>
      <c r="BM120" s="66">
        <f t="shared" si="260"/>
        <v>0</v>
      </c>
      <c r="BN120" s="66">
        <f t="shared" si="261"/>
        <v>0</v>
      </c>
      <c r="BO120" s="66">
        <f t="shared" si="262"/>
        <v>0</v>
      </c>
      <c r="BP120" s="66">
        <f t="shared" si="263"/>
        <v>0</v>
      </c>
      <c r="BQ120" s="66">
        <f t="shared" si="264"/>
        <v>0</v>
      </c>
      <c r="BR120" s="66">
        <f t="shared" si="265"/>
        <v>0</v>
      </c>
      <c r="BS120" s="66">
        <f t="shared" si="266"/>
        <v>0</v>
      </c>
      <c r="BT120" s="66">
        <f t="shared" si="267"/>
        <v>0</v>
      </c>
      <c r="BU120" s="66">
        <f t="shared" si="268"/>
        <v>0</v>
      </c>
      <c r="BV120" s="66">
        <f t="shared" si="269"/>
        <v>0</v>
      </c>
      <c r="BW120" s="66">
        <f t="shared" si="270"/>
        <v>0</v>
      </c>
      <c r="BX120" s="66">
        <f t="shared" si="271"/>
        <v>0</v>
      </c>
      <c r="BY120" s="66">
        <f t="shared" si="255"/>
        <v>0</v>
      </c>
      <c r="BZ120" s="66">
        <f t="shared" si="272"/>
        <v>0</v>
      </c>
      <c r="CA120" s="66"/>
      <c r="CB120" s="66">
        <f t="shared" si="273"/>
        <v>0</v>
      </c>
      <c r="CC120" s="22">
        <f t="shared" si="274"/>
        <v>0.98742139622641512</v>
      </c>
      <c r="CD120" s="66">
        <f t="shared" si="233"/>
        <v>52333334</v>
      </c>
      <c r="CE120" s="86">
        <f>+'[7]AGOSTO 2019'!$H$1208</f>
        <v>12350000</v>
      </c>
      <c r="CF120" s="86"/>
      <c r="CG120" s="86"/>
      <c r="CH120" s="86"/>
      <c r="CI120" s="86"/>
      <c r="CJ120" s="86"/>
      <c r="CK120" s="86"/>
      <c r="CL120" s="86"/>
      <c r="CM120" s="86"/>
      <c r="CN120" s="86"/>
      <c r="CO120" s="86"/>
      <c r="CP120" s="86"/>
      <c r="CQ120" s="86"/>
      <c r="CR120" s="86"/>
      <c r="CS120" s="86"/>
      <c r="CT120" s="86"/>
      <c r="CU120" s="86"/>
      <c r="CV120" s="86"/>
      <c r="CW120" s="86"/>
      <c r="CX120" s="86">
        <f>+'[7]AGOSTO 2019'!$H$1202</f>
        <v>39983334</v>
      </c>
      <c r="CY120" s="86"/>
      <c r="CZ120" s="86"/>
      <c r="DA120" s="86"/>
      <c r="DB120" s="22">
        <f t="shared" si="214"/>
        <v>1.2578603773584884E-2</v>
      </c>
      <c r="DC120" s="66">
        <f t="shared" si="189"/>
        <v>666666</v>
      </c>
      <c r="DD120" s="66">
        <f t="shared" si="277"/>
        <v>650000</v>
      </c>
      <c r="DE120" s="66">
        <f t="shared" si="277"/>
        <v>0</v>
      </c>
      <c r="DF120" s="66"/>
      <c r="DG120" s="66">
        <f>K120-CH120</f>
        <v>0</v>
      </c>
      <c r="DH120" s="66">
        <f t="shared" si="278"/>
        <v>0</v>
      </c>
      <c r="DI120" s="66">
        <f t="shared" si="278"/>
        <v>0</v>
      </c>
      <c r="DJ120" s="66">
        <f t="shared" si="278"/>
        <v>0</v>
      </c>
      <c r="DK120" s="66">
        <f t="shared" si="278"/>
        <v>0</v>
      </c>
      <c r="DL120" s="66">
        <f t="shared" si="278"/>
        <v>0</v>
      </c>
      <c r="DM120" s="66">
        <f t="shared" si="278"/>
        <v>0</v>
      </c>
      <c r="DN120" s="66">
        <f t="shared" si="278"/>
        <v>0</v>
      </c>
      <c r="DO120" s="66">
        <f t="shared" si="278"/>
        <v>0</v>
      </c>
      <c r="DP120" s="66">
        <f t="shared" si="278"/>
        <v>0</v>
      </c>
      <c r="DQ120" s="66">
        <f t="shared" si="278"/>
        <v>0</v>
      </c>
      <c r="DR120" s="66">
        <f t="shared" si="279"/>
        <v>0</v>
      </c>
      <c r="DS120" s="66">
        <f t="shared" si="279"/>
        <v>0</v>
      </c>
      <c r="DT120" s="66">
        <f t="shared" si="279"/>
        <v>0</v>
      </c>
      <c r="DU120" s="66">
        <f t="shared" si="279"/>
        <v>0</v>
      </c>
      <c r="DV120" s="66">
        <f t="shared" si="279"/>
        <v>0</v>
      </c>
      <c r="DW120" s="66">
        <f t="shared" si="279"/>
        <v>16666</v>
      </c>
      <c r="DX120" s="66">
        <f t="shared" si="279"/>
        <v>0</v>
      </c>
      <c r="DY120" s="66"/>
      <c r="DZ120" s="66">
        <f>AD120-DA120</f>
        <v>0</v>
      </c>
      <c r="EB120" s="9">
        <f t="shared" si="215"/>
        <v>53000000</v>
      </c>
      <c r="EC120" s="9">
        <f t="shared" si="216"/>
        <v>53000000</v>
      </c>
      <c r="ED120" s="9">
        <f t="shared" si="217"/>
        <v>53000000</v>
      </c>
    </row>
    <row r="121" spans="1:136" s="59" customFormat="1" ht="21" customHeight="1" thickBot="1" x14ac:dyDescent="0.35">
      <c r="A121" s="85"/>
      <c r="B121" s="229" t="s">
        <v>77</v>
      </c>
      <c r="C121" s="230"/>
      <c r="D121" s="230"/>
      <c r="E121" s="230"/>
      <c r="F121" s="231"/>
      <c r="G121" s="61">
        <f t="shared" ref="G121:AD121" si="280">SUM(G105:G120)</f>
        <v>3687641610</v>
      </c>
      <c r="H121" s="61">
        <f t="shared" si="280"/>
        <v>444106222</v>
      </c>
      <c r="I121" s="61">
        <f t="shared" si="280"/>
        <v>180000000</v>
      </c>
      <c r="J121" s="61">
        <f t="shared" si="280"/>
        <v>0</v>
      </c>
      <c r="K121" s="61">
        <f t="shared" si="280"/>
        <v>681816144</v>
      </c>
      <c r="L121" s="61">
        <f t="shared" si="280"/>
        <v>0</v>
      </c>
      <c r="M121" s="61">
        <f t="shared" si="280"/>
        <v>208000000</v>
      </c>
      <c r="N121" s="61">
        <f t="shared" si="280"/>
        <v>0</v>
      </c>
      <c r="O121" s="61">
        <f t="shared" si="280"/>
        <v>0</v>
      </c>
      <c r="P121" s="61">
        <f t="shared" si="280"/>
        <v>0</v>
      </c>
      <c r="Q121" s="61">
        <f t="shared" si="280"/>
        <v>0</v>
      </c>
      <c r="R121" s="61">
        <f t="shared" si="280"/>
        <v>0</v>
      </c>
      <c r="S121" s="61">
        <f t="shared" si="280"/>
        <v>0</v>
      </c>
      <c r="T121" s="61">
        <f t="shared" si="280"/>
        <v>0</v>
      </c>
      <c r="U121" s="61">
        <f t="shared" si="280"/>
        <v>0</v>
      </c>
      <c r="V121" s="61">
        <f t="shared" si="280"/>
        <v>0</v>
      </c>
      <c r="W121" s="61">
        <f t="shared" si="280"/>
        <v>0</v>
      </c>
      <c r="X121" s="61">
        <f t="shared" si="280"/>
        <v>100000000</v>
      </c>
      <c r="Y121" s="61">
        <f t="shared" si="280"/>
        <v>32712008</v>
      </c>
      <c r="Z121" s="61">
        <f t="shared" si="280"/>
        <v>114788955</v>
      </c>
      <c r="AA121" s="61">
        <f t="shared" si="280"/>
        <v>1770728185</v>
      </c>
      <c r="AB121" s="61">
        <f t="shared" si="280"/>
        <v>0</v>
      </c>
      <c r="AC121" s="61">
        <f t="shared" si="280"/>
        <v>0</v>
      </c>
      <c r="AD121" s="61">
        <f t="shared" si="280"/>
        <v>155490096</v>
      </c>
      <c r="AE121" s="62">
        <f t="shared" si="275"/>
        <v>0.98417319084323929</v>
      </c>
      <c r="AF121" s="61">
        <f>SUM(AF105:AF120)</f>
        <v>3629278010</v>
      </c>
      <c r="AG121" s="61">
        <f>SUM(AG105:AG120)</f>
        <v>444103222</v>
      </c>
      <c r="AH121" s="61">
        <f>SUM(AH105:AH120)</f>
        <v>180000000</v>
      </c>
      <c r="AI121" s="61">
        <f>SUM(AI105:AI120)</f>
        <v>0</v>
      </c>
      <c r="AJ121" s="61"/>
      <c r="AK121" s="61">
        <f t="shared" ref="AK121:BC121" si="281">SUM(AK105:AK120)</f>
        <v>0</v>
      </c>
      <c r="AL121" s="61">
        <f t="shared" si="281"/>
        <v>208000000</v>
      </c>
      <c r="AM121" s="61">
        <f t="shared" si="281"/>
        <v>0</v>
      </c>
      <c r="AN121" s="61">
        <f t="shared" si="281"/>
        <v>0</v>
      </c>
      <c r="AO121" s="61">
        <f t="shared" si="281"/>
        <v>0</v>
      </c>
      <c r="AP121" s="61">
        <f t="shared" si="281"/>
        <v>0</v>
      </c>
      <c r="AQ121" s="61">
        <f t="shared" si="281"/>
        <v>0</v>
      </c>
      <c r="AR121" s="61">
        <f t="shared" si="281"/>
        <v>0</v>
      </c>
      <c r="AS121" s="61">
        <f t="shared" si="281"/>
        <v>0</v>
      </c>
      <c r="AT121" s="61">
        <f t="shared" si="281"/>
        <v>0</v>
      </c>
      <c r="AU121" s="61">
        <f t="shared" si="281"/>
        <v>0</v>
      </c>
      <c r="AV121" s="61">
        <f t="shared" si="281"/>
        <v>0</v>
      </c>
      <c r="AW121" s="61">
        <f t="shared" si="281"/>
        <v>99046000</v>
      </c>
      <c r="AX121" s="61">
        <f t="shared" si="281"/>
        <v>32712008</v>
      </c>
      <c r="AY121" s="61">
        <f t="shared" si="281"/>
        <v>113788955</v>
      </c>
      <c r="AZ121" s="61">
        <f t="shared" si="281"/>
        <v>1770547588</v>
      </c>
      <c r="BA121" s="61">
        <f t="shared" si="281"/>
        <v>0</v>
      </c>
      <c r="BB121" s="61">
        <f t="shared" si="281"/>
        <v>0</v>
      </c>
      <c r="BC121" s="61">
        <f t="shared" si="281"/>
        <v>99264093</v>
      </c>
      <c r="BD121" s="84">
        <f t="shared" si="212"/>
        <v>1.5826809156760713E-2</v>
      </c>
      <c r="BE121" s="61">
        <f t="shared" ref="BE121:CB121" si="282">SUM(BE105:BE120)</f>
        <v>58363600</v>
      </c>
      <c r="BF121" s="61">
        <f t="shared" si="282"/>
        <v>3000</v>
      </c>
      <c r="BG121" s="61">
        <f t="shared" si="282"/>
        <v>0</v>
      </c>
      <c r="BH121" s="61">
        <f t="shared" si="282"/>
        <v>0</v>
      </c>
      <c r="BI121" s="61">
        <f t="shared" si="282"/>
        <v>0</v>
      </c>
      <c r="BJ121" s="61">
        <f t="shared" si="282"/>
        <v>0</v>
      </c>
      <c r="BK121" s="61">
        <f t="shared" si="282"/>
        <v>0</v>
      </c>
      <c r="BL121" s="61">
        <f t="shared" si="282"/>
        <v>0</v>
      </c>
      <c r="BM121" s="61">
        <f t="shared" si="282"/>
        <v>0</v>
      </c>
      <c r="BN121" s="61">
        <f t="shared" si="282"/>
        <v>0</v>
      </c>
      <c r="BO121" s="61">
        <f t="shared" si="282"/>
        <v>0</v>
      </c>
      <c r="BP121" s="61">
        <f t="shared" si="282"/>
        <v>0</v>
      </c>
      <c r="BQ121" s="61">
        <f t="shared" si="282"/>
        <v>0</v>
      </c>
      <c r="BR121" s="61">
        <f t="shared" si="282"/>
        <v>0</v>
      </c>
      <c r="BS121" s="61">
        <f t="shared" si="282"/>
        <v>0</v>
      </c>
      <c r="BT121" s="61">
        <f t="shared" si="282"/>
        <v>0</v>
      </c>
      <c r="BU121" s="61">
        <f t="shared" si="282"/>
        <v>0</v>
      </c>
      <c r="BV121" s="61">
        <f t="shared" si="282"/>
        <v>954000</v>
      </c>
      <c r="BW121" s="61">
        <f t="shared" si="282"/>
        <v>0</v>
      </c>
      <c r="BX121" s="61">
        <f t="shared" si="282"/>
        <v>1000000</v>
      </c>
      <c r="BY121" s="61">
        <f t="shared" si="282"/>
        <v>180597</v>
      </c>
      <c r="BZ121" s="61">
        <f t="shared" si="282"/>
        <v>0</v>
      </c>
      <c r="CA121" s="61">
        <f t="shared" si="282"/>
        <v>0</v>
      </c>
      <c r="CB121" s="61">
        <f t="shared" si="282"/>
        <v>56226003</v>
      </c>
      <c r="CC121" s="62">
        <f t="shared" si="274"/>
        <v>0.78081371687309931</v>
      </c>
      <c r="CD121" s="61">
        <f t="shared" ref="CD121:DA121" si="283">SUM(CD105:CD120)</f>
        <v>2879361152</v>
      </c>
      <c r="CE121" s="61">
        <f t="shared" si="283"/>
        <v>442882518</v>
      </c>
      <c r="CF121" s="61">
        <f t="shared" si="283"/>
        <v>170103390</v>
      </c>
      <c r="CG121" s="61">
        <f t="shared" si="283"/>
        <v>0</v>
      </c>
      <c r="CH121" s="61">
        <f t="shared" si="283"/>
        <v>108959308</v>
      </c>
      <c r="CI121" s="61">
        <f t="shared" si="283"/>
        <v>0</v>
      </c>
      <c r="CJ121" s="61">
        <f t="shared" si="283"/>
        <v>205876669</v>
      </c>
      <c r="CK121" s="61">
        <f t="shared" si="283"/>
        <v>0</v>
      </c>
      <c r="CL121" s="61">
        <f t="shared" si="283"/>
        <v>0</v>
      </c>
      <c r="CM121" s="61">
        <f t="shared" si="283"/>
        <v>0</v>
      </c>
      <c r="CN121" s="61">
        <f t="shared" si="283"/>
        <v>0</v>
      </c>
      <c r="CO121" s="61">
        <f t="shared" si="283"/>
        <v>0</v>
      </c>
      <c r="CP121" s="61">
        <f t="shared" si="283"/>
        <v>0</v>
      </c>
      <c r="CQ121" s="61">
        <f t="shared" si="283"/>
        <v>0</v>
      </c>
      <c r="CR121" s="61">
        <f t="shared" si="283"/>
        <v>0</v>
      </c>
      <c r="CS121" s="61">
        <f t="shared" si="283"/>
        <v>0</v>
      </c>
      <c r="CT121" s="61">
        <f t="shared" si="283"/>
        <v>0</v>
      </c>
      <c r="CU121" s="61">
        <f t="shared" si="283"/>
        <v>96846000</v>
      </c>
      <c r="CV121" s="61">
        <f t="shared" si="283"/>
        <v>27246666</v>
      </c>
      <c r="CW121" s="61">
        <f t="shared" si="283"/>
        <v>50941940</v>
      </c>
      <c r="CX121" s="61">
        <f t="shared" si="283"/>
        <v>1694221856</v>
      </c>
      <c r="CY121" s="61">
        <f t="shared" si="283"/>
        <v>0</v>
      </c>
      <c r="CZ121" s="61">
        <f t="shared" si="283"/>
        <v>0</v>
      </c>
      <c r="DA121" s="61">
        <f t="shared" si="283"/>
        <v>82282805</v>
      </c>
      <c r="DB121" s="62">
        <f t="shared" si="214"/>
        <v>0.21918628312690069</v>
      </c>
      <c r="DC121" s="61">
        <f t="shared" ref="DC121:DZ121" si="284">SUM(DC105:DC120)</f>
        <v>808280458</v>
      </c>
      <c r="DD121" s="61">
        <f t="shared" si="284"/>
        <v>1223704</v>
      </c>
      <c r="DE121" s="61">
        <f t="shared" si="284"/>
        <v>9896610</v>
      </c>
      <c r="DF121" s="61">
        <f t="shared" si="284"/>
        <v>0</v>
      </c>
      <c r="DG121" s="61">
        <f t="shared" si="284"/>
        <v>572856836</v>
      </c>
      <c r="DH121" s="61">
        <f t="shared" si="284"/>
        <v>0</v>
      </c>
      <c r="DI121" s="61">
        <f t="shared" si="284"/>
        <v>2123331</v>
      </c>
      <c r="DJ121" s="61">
        <f t="shared" si="284"/>
        <v>0</v>
      </c>
      <c r="DK121" s="61">
        <f t="shared" si="284"/>
        <v>0</v>
      </c>
      <c r="DL121" s="61">
        <f t="shared" si="284"/>
        <v>0</v>
      </c>
      <c r="DM121" s="61">
        <f t="shared" si="284"/>
        <v>0</v>
      </c>
      <c r="DN121" s="61">
        <f t="shared" si="284"/>
        <v>0</v>
      </c>
      <c r="DO121" s="61">
        <f t="shared" si="284"/>
        <v>0</v>
      </c>
      <c r="DP121" s="61">
        <f t="shared" si="284"/>
        <v>0</v>
      </c>
      <c r="DQ121" s="61">
        <f t="shared" si="284"/>
        <v>0</v>
      </c>
      <c r="DR121" s="61">
        <f t="shared" si="284"/>
        <v>0</v>
      </c>
      <c r="DS121" s="61">
        <f t="shared" si="284"/>
        <v>0</v>
      </c>
      <c r="DT121" s="61">
        <f t="shared" si="284"/>
        <v>3154000</v>
      </c>
      <c r="DU121" s="61">
        <f t="shared" si="284"/>
        <v>5465342</v>
      </c>
      <c r="DV121" s="61">
        <f t="shared" si="284"/>
        <v>63847015</v>
      </c>
      <c r="DW121" s="61">
        <f t="shared" si="284"/>
        <v>76506329</v>
      </c>
      <c r="DX121" s="61">
        <f t="shared" si="284"/>
        <v>0</v>
      </c>
      <c r="DY121" s="61">
        <f t="shared" si="284"/>
        <v>0</v>
      </c>
      <c r="DZ121" s="61">
        <f t="shared" si="284"/>
        <v>73207291</v>
      </c>
      <c r="EB121" s="9">
        <f t="shared" si="215"/>
        <v>3687641610</v>
      </c>
      <c r="EC121" s="9">
        <f t="shared" si="216"/>
        <v>3687641610</v>
      </c>
      <c r="ED121" s="9">
        <f t="shared" si="217"/>
        <v>3687641610</v>
      </c>
    </row>
    <row r="122" spans="1:136" ht="45.6" customHeight="1" thickTop="1" thickBot="1" x14ac:dyDescent="0.35">
      <c r="A122" s="232" t="s">
        <v>45</v>
      </c>
      <c r="B122" s="83" t="s">
        <v>76</v>
      </c>
      <c r="C122" s="70" t="s">
        <v>75</v>
      </c>
      <c r="D122" s="71" t="s">
        <v>74</v>
      </c>
      <c r="E122" s="68">
        <v>510</v>
      </c>
      <c r="F122" s="67" t="s">
        <v>73</v>
      </c>
      <c r="G122" s="66">
        <f t="shared" ref="G122:G141" si="285">SUM(H122:AD122)</f>
        <v>0</v>
      </c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  <c r="AA122" s="66"/>
      <c r="AB122" s="66"/>
      <c r="AC122" s="66"/>
      <c r="AD122" s="66">
        <f>2500000-2500000</f>
        <v>0</v>
      </c>
      <c r="AE122" s="22" t="e">
        <f t="shared" si="275"/>
        <v>#DIV/0!</v>
      </c>
      <c r="AF122" s="66">
        <f t="shared" ref="AF122:AF141" si="286">SUM(AG122:BC122)</f>
        <v>0</v>
      </c>
      <c r="AG122" s="66"/>
      <c r="AH122" s="66"/>
      <c r="AI122" s="66"/>
      <c r="AJ122" s="66"/>
      <c r="AK122" s="66"/>
      <c r="AL122" s="66"/>
      <c r="AM122" s="66"/>
      <c r="AN122" s="66"/>
      <c r="AO122" s="66"/>
      <c r="AP122" s="66"/>
      <c r="AQ122" s="66"/>
      <c r="AR122" s="66"/>
      <c r="AS122" s="66"/>
      <c r="AT122" s="66"/>
      <c r="AU122" s="66"/>
      <c r="AV122" s="66"/>
      <c r="AW122" s="66"/>
      <c r="AX122" s="66"/>
      <c r="AY122" s="66"/>
      <c r="AZ122" s="66"/>
      <c r="BA122" s="66"/>
      <c r="BB122" s="66"/>
      <c r="BC122" s="66"/>
      <c r="BD122" s="22" t="e">
        <f t="shared" si="212"/>
        <v>#DIV/0!</v>
      </c>
      <c r="BE122" s="66">
        <f t="shared" ref="BE122:BE141" si="287">SUM(BF122:CB122)</f>
        <v>0</v>
      </c>
      <c r="BF122" s="66">
        <f t="shared" ref="BF122:BF130" si="288">H122-AG122</f>
        <v>0</v>
      </c>
      <c r="BG122" s="66">
        <f t="shared" ref="BG122:BG130" si="289">I122-AH122</f>
        <v>0</v>
      </c>
      <c r="BH122" s="66"/>
      <c r="BI122" s="66">
        <f t="shared" ref="BI122:BI141" si="290">+K122-AJ122</f>
        <v>0</v>
      </c>
      <c r="BJ122" s="66">
        <f t="shared" ref="BJ122:BJ130" si="291">L122-AK122</f>
        <v>0</v>
      </c>
      <c r="BK122" s="66">
        <f t="shared" ref="BK122:BK130" si="292">M122-AL122</f>
        <v>0</v>
      </c>
      <c r="BL122" s="66">
        <f t="shared" ref="BL122:BL130" si="293">N122-AM122</f>
        <v>0</v>
      </c>
      <c r="BM122" s="66">
        <f t="shared" ref="BM122:BM130" si="294">O122-AN122</f>
        <v>0</v>
      </c>
      <c r="BN122" s="66">
        <f t="shared" ref="BN122:BN130" si="295">P122-AO122</f>
        <v>0</v>
      </c>
      <c r="BO122" s="66">
        <f t="shared" ref="BO122:BO130" si="296">Q122-AP122</f>
        <v>0</v>
      </c>
      <c r="BP122" s="66">
        <f t="shared" ref="BP122:BP130" si="297">R122-AQ122</f>
        <v>0</v>
      </c>
      <c r="BQ122" s="66">
        <f t="shared" ref="BQ122:BQ130" si="298">S122-AR122</f>
        <v>0</v>
      </c>
      <c r="BR122" s="66">
        <f t="shared" ref="BR122:BR130" si="299">T122-AS122</f>
        <v>0</v>
      </c>
      <c r="BS122" s="66">
        <f t="shared" ref="BS122:BS130" si="300">U122-AT122</f>
        <v>0</v>
      </c>
      <c r="BT122" s="66">
        <f t="shared" ref="BT122:BT130" si="301">V122-AU122</f>
        <v>0</v>
      </c>
      <c r="BU122" s="66">
        <f t="shared" ref="BU122:BU130" si="302">W122-AV122</f>
        <v>0</v>
      </c>
      <c r="BV122" s="66">
        <f t="shared" ref="BV122:BV130" si="303">X122-AW122</f>
        <v>0</v>
      </c>
      <c r="BW122" s="66">
        <f t="shared" ref="BW122:BW130" si="304">Y122-AX122</f>
        <v>0</v>
      </c>
      <c r="BX122" s="66">
        <f t="shared" ref="BX122:BX130" si="305">Z122-AY122</f>
        <v>0</v>
      </c>
      <c r="BY122" s="66">
        <f t="shared" ref="BY122:BY130" si="306">AA122-AZ122</f>
        <v>0</v>
      </c>
      <c r="BZ122" s="66">
        <f t="shared" ref="BZ122:BZ130" si="307">AB122-BA122</f>
        <v>0</v>
      </c>
      <c r="CA122" s="66"/>
      <c r="CB122" s="66">
        <f t="shared" ref="CB122:CB130" si="308">AD122-BC122</f>
        <v>0</v>
      </c>
      <c r="CC122" s="22" t="e">
        <f t="shared" si="274"/>
        <v>#DIV/0!</v>
      </c>
      <c r="CD122" s="66">
        <f t="shared" ref="CD122:CD141" si="309">SUM(CE122:DA122)</f>
        <v>0</v>
      </c>
      <c r="CE122" s="66"/>
      <c r="CF122" s="66"/>
      <c r="CG122" s="66"/>
      <c r="CH122" s="66"/>
      <c r="CI122" s="66"/>
      <c r="CJ122" s="66"/>
      <c r="CK122" s="66"/>
      <c r="CL122" s="66"/>
      <c r="CM122" s="66"/>
      <c r="CN122" s="66"/>
      <c r="CO122" s="66"/>
      <c r="CP122" s="66"/>
      <c r="CQ122" s="66"/>
      <c r="CR122" s="66"/>
      <c r="CS122" s="66"/>
      <c r="CT122" s="66"/>
      <c r="CU122" s="66"/>
      <c r="CV122" s="66"/>
      <c r="CW122" s="66"/>
      <c r="CX122" s="66"/>
      <c r="CY122" s="66"/>
      <c r="CZ122" s="66"/>
      <c r="DA122" s="66"/>
      <c r="DB122" s="22" t="e">
        <f t="shared" si="214"/>
        <v>#DIV/0!</v>
      </c>
      <c r="DC122" s="66">
        <f t="shared" ref="DC122:DC141" si="310">SUM(DD122:DZ122)</f>
        <v>0</v>
      </c>
      <c r="DD122" s="66">
        <f t="shared" ref="DD122:DD130" si="311">H122-CE122</f>
        <v>0</v>
      </c>
      <c r="DE122" s="66">
        <f t="shared" ref="DE122:DE130" si="312">I122-CF122</f>
        <v>0</v>
      </c>
      <c r="DF122" s="66"/>
      <c r="DG122" s="66">
        <f t="shared" ref="DG122:DG130" si="313">K122-CH122</f>
        <v>0</v>
      </c>
      <c r="DH122" s="66">
        <f t="shared" ref="DH122:DH130" si="314">L122-CI122</f>
        <v>0</v>
      </c>
      <c r="DI122" s="66">
        <f t="shared" ref="DI122:DI130" si="315">M122-CJ122</f>
        <v>0</v>
      </c>
      <c r="DJ122" s="66">
        <f t="shared" ref="DJ122:DJ130" si="316">N122-CK122</f>
        <v>0</v>
      </c>
      <c r="DK122" s="66">
        <f t="shared" ref="DK122:DK130" si="317">O122-CL122</f>
        <v>0</v>
      </c>
      <c r="DL122" s="66">
        <f t="shared" ref="DL122:DL130" si="318">P122-CM122</f>
        <v>0</v>
      </c>
      <c r="DM122" s="66">
        <f t="shared" ref="DM122:DM130" si="319">Q122-CN122</f>
        <v>0</v>
      </c>
      <c r="DN122" s="66">
        <f t="shared" ref="DN122:DN130" si="320">R122-CO122</f>
        <v>0</v>
      </c>
      <c r="DO122" s="66">
        <f t="shared" ref="DO122:DO130" si="321">S122-CP122</f>
        <v>0</v>
      </c>
      <c r="DP122" s="66">
        <f t="shared" ref="DP122:DP130" si="322">T122-CQ122</f>
        <v>0</v>
      </c>
      <c r="DQ122" s="66">
        <f t="shared" ref="DQ122:DQ130" si="323">U122-CR122</f>
        <v>0</v>
      </c>
      <c r="DR122" s="66">
        <f t="shared" ref="DR122:DR130" si="324">V122-CS122</f>
        <v>0</v>
      </c>
      <c r="DS122" s="66">
        <f t="shared" ref="DS122:DS130" si="325">W122-CT122</f>
        <v>0</v>
      </c>
      <c r="DT122" s="66">
        <f t="shared" ref="DT122:DT130" si="326">X122-CU122</f>
        <v>0</v>
      </c>
      <c r="DU122" s="66">
        <f t="shared" ref="DU122:DU130" si="327">Y122-CV122</f>
        <v>0</v>
      </c>
      <c r="DV122" s="66">
        <f t="shared" ref="DV122:DV130" si="328">Z122-CW122</f>
        <v>0</v>
      </c>
      <c r="DW122" s="66">
        <f t="shared" ref="DW122:DW130" si="329">AA122-CX122</f>
        <v>0</v>
      </c>
      <c r="DX122" s="66">
        <f t="shared" ref="DX122:DX130" si="330">AB122-CY122</f>
        <v>0</v>
      </c>
      <c r="DY122" s="66"/>
      <c r="DZ122" s="66">
        <f t="shared" ref="DZ122:DZ130" si="331">AD122-DA122</f>
        <v>0</v>
      </c>
      <c r="EB122" s="9">
        <f t="shared" si="215"/>
        <v>0</v>
      </c>
      <c r="EC122" s="9">
        <f t="shared" si="216"/>
        <v>0</v>
      </c>
      <c r="ED122" s="9">
        <f t="shared" si="217"/>
        <v>0</v>
      </c>
    </row>
    <row r="123" spans="1:136" ht="26.4" customHeight="1" thickTop="1" x14ac:dyDescent="0.3">
      <c r="A123" s="207"/>
      <c r="B123" s="233" t="s">
        <v>72</v>
      </c>
      <c r="C123" s="70" t="s">
        <v>71</v>
      </c>
      <c r="D123" s="71" t="s">
        <v>70</v>
      </c>
      <c r="E123" s="68">
        <v>111</v>
      </c>
      <c r="F123" s="67" t="s">
        <v>21</v>
      </c>
      <c r="G123" s="66">
        <f t="shared" si="285"/>
        <v>11469851222</v>
      </c>
      <c r="H123" s="66"/>
      <c r="I123" s="66"/>
      <c r="J123" s="66"/>
      <c r="K123" s="66"/>
      <c r="L123" s="66">
        <v>10500000000</v>
      </c>
      <c r="M123" s="66"/>
      <c r="N123" s="66"/>
      <c r="O123" s="66">
        <f>130000000+180000000-126444390</f>
        <v>183555610</v>
      </c>
      <c r="P123" s="66">
        <f>266000000+30000000-41930300-220000000</f>
        <v>34069700</v>
      </c>
      <c r="Q123" s="66">
        <f>450000000+168723421-45000000-341800300</f>
        <v>231923121</v>
      </c>
      <c r="R123" s="66">
        <f>370000000+122156723-8786495</f>
        <v>483370228</v>
      </c>
      <c r="S123" s="66"/>
      <c r="T123" s="66">
        <f>4772680</f>
        <v>4772680</v>
      </c>
      <c r="U123" s="66"/>
      <c r="V123" s="66">
        <f>60000000+4273051-32113168</f>
        <v>32159883</v>
      </c>
      <c r="W123" s="66"/>
      <c r="X123" s="66"/>
      <c r="Y123" s="66"/>
      <c r="Z123" s="66"/>
      <c r="AA123" s="66"/>
      <c r="AB123" s="66"/>
      <c r="AC123" s="66"/>
      <c r="AD123" s="66"/>
      <c r="AE123" s="22">
        <f t="shared" si="275"/>
        <v>7.6402979344591185E-2</v>
      </c>
      <c r="AF123" s="66">
        <f t="shared" si="286"/>
        <v>876330806</v>
      </c>
      <c r="AG123" s="66"/>
      <c r="AH123" s="66"/>
      <c r="AI123" s="66"/>
      <c r="AJ123" s="66"/>
      <c r="AK123" s="66"/>
      <c r="AL123" s="66"/>
      <c r="AM123" s="66"/>
      <c r="AN123" s="66">
        <f>+'[7]AGOSTO 2019'!$P$18</f>
        <v>151775814</v>
      </c>
      <c r="AO123" s="66">
        <f>+'[10]ABRIL 2019'!$Q$18</f>
        <v>34069700</v>
      </c>
      <c r="AP123" s="66">
        <f>+'[1]OCTUBRE 2019'!$S$18</f>
        <v>174955181</v>
      </c>
      <c r="AQ123" s="66">
        <f>+'[7]AGOSTO 2019'!$S$18</f>
        <v>483370228</v>
      </c>
      <c r="AR123" s="66"/>
      <c r="AS123" s="66"/>
      <c r="AT123" s="66"/>
      <c r="AU123" s="66">
        <f>+'[11]JULIO 2019'!$W$18</f>
        <v>32159883</v>
      </c>
      <c r="AV123" s="66"/>
      <c r="AW123" s="66"/>
      <c r="AX123" s="66"/>
      <c r="AY123" s="66"/>
      <c r="AZ123" s="66"/>
      <c r="BA123" s="66"/>
      <c r="BB123" s="66"/>
      <c r="BC123" s="66"/>
      <c r="BD123" s="22">
        <f t="shared" si="212"/>
        <v>0.92359702065540883</v>
      </c>
      <c r="BE123" s="66">
        <f t="shared" si="287"/>
        <v>10593520416</v>
      </c>
      <c r="BF123" s="66">
        <f t="shared" si="288"/>
        <v>0</v>
      </c>
      <c r="BG123" s="66">
        <f t="shared" si="289"/>
        <v>0</v>
      </c>
      <c r="BH123" s="66"/>
      <c r="BI123" s="66">
        <f t="shared" si="290"/>
        <v>0</v>
      </c>
      <c r="BJ123" s="66">
        <f t="shared" si="291"/>
        <v>10500000000</v>
      </c>
      <c r="BK123" s="66">
        <f t="shared" si="292"/>
        <v>0</v>
      </c>
      <c r="BL123" s="66">
        <f t="shared" si="293"/>
        <v>0</v>
      </c>
      <c r="BM123" s="66">
        <f t="shared" si="294"/>
        <v>31779796</v>
      </c>
      <c r="BN123" s="66">
        <f t="shared" si="295"/>
        <v>0</v>
      </c>
      <c r="BO123" s="66">
        <f t="shared" si="296"/>
        <v>56967940</v>
      </c>
      <c r="BP123" s="66">
        <f t="shared" si="297"/>
        <v>0</v>
      </c>
      <c r="BQ123" s="66">
        <f t="shared" si="298"/>
        <v>0</v>
      </c>
      <c r="BR123" s="66">
        <f t="shared" si="299"/>
        <v>4772680</v>
      </c>
      <c r="BS123" s="66">
        <f t="shared" si="300"/>
        <v>0</v>
      </c>
      <c r="BT123" s="66">
        <f t="shared" si="301"/>
        <v>0</v>
      </c>
      <c r="BU123" s="66">
        <f t="shared" si="302"/>
        <v>0</v>
      </c>
      <c r="BV123" s="66">
        <f t="shared" si="303"/>
        <v>0</v>
      </c>
      <c r="BW123" s="66">
        <f t="shared" si="304"/>
        <v>0</v>
      </c>
      <c r="BX123" s="66">
        <f t="shared" si="305"/>
        <v>0</v>
      </c>
      <c r="BY123" s="66">
        <f t="shared" si="306"/>
        <v>0</v>
      </c>
      <c r="BZ123" s="66">
        <f t="shared" si="307"/>
        <v>0</v>
      </c>
      <c r="CA123" s="66"/>
      <c r="CB123" s="66">
        <f t="shared" si="308"/>
        <v>0</v>
      </c>
      <c r="CC123" s="22">
        <f t="shared" si="274"/>
        <v>7.0301306389517176E-2</v>
      </c>
      <c r="CD123" s="66">
        <f t="shared" si="309"/>
        <v>806345525</v>
      </c>
      <c r="CE123" s="66"/>
      <c r="CF123" s="66"/>
      <c r="CG123" s="66"/>
      <c r="CH123" s="66"/>
      <c r="CI123" s="66"/>
      <c r="CJ123" s="66"/>
      <c r="CK123" s="66"/>
      <c r="CL123" s="66">
        <f>+'[11]JULIO 2019'!$H$19+'[11]JULIO 2019'!$H$21+'[11]JULIO 2019'!$H$23+'[11]JULIO 2019'!$H$31+'[2]SEPTIEMBRE 2019'!$H$41</f>
        <v>151775814</v>
      </c>
      <c r="CM123" s="66">
        <f>+'[6]MAYO 2019'!$H$25</f>
        <v>34069700</v>
      </c>
      <c r="CN123" s="66">
        <f>+'[6]MAYO 2019'!$H$29</f>
        <v>104969900</v>
      </c>
      <c r="CO123" s="66">
        <f>+'[11]JULIO 2019'!$H$27+'[11]JULIO 2019'!$H$35</f>
        <v>483370228</v>
      </c>
      <c r="CP123" s="66"/>
      <c r="CQ123" s="66"/>
      <c r="CR123" s="66"/>
      <c r="CS123" s="66">
        <f>+'[11]JULIO 2019'!$H$39</f>
        <v>32159883</v>
      </c>
      <c r="CT123" s="66"/>
      <c r="CU123" s="66"/>
      <c r="CV123" s="66"/>
      <c r="CW123" s="66"/>
      <c r="CX123" s="66"/>
      <c r="CY123" s="66"/>
      <c r="CZ123" s="66"/>
      <c r="DA123" s="66"/>
      <c r="DB123" s="22">
        <f t="shared" si="214"/>
        <v>0.92969869361048285</v>
      </c>
      <c r="DC123" s="66">
        <f t="shared" si="310"/>
        <v>10663505697</v>
      </c>
      <c r="DD123" s="66">
        <f t="shared" si="311"/>
        <v>0</v>
      </c>
      <c r="DE123" s="66">
        <f t="shared" si="312"/>
        <v>0</v>
      </c>
      <c r="DF123" s="66"/>
      <c r="DG123" s="66">
        <f t="shared" si="313"/>
        <v>0</v>
      </c>
      <c r="DH123" s="66">
        <f t="shared" si="314"/>
        <v>10500000000</v>
      </c>
      <c r="DI123" s="66">
        <f t="shared" si="315"/>
        <v>0</v>
      </c>
      <c r="DJ123" s="66">
        <f t="shared" si="316"/>
        <v>0</v>
      </c>
      <c r="DK123" s="66">
        <f t="shared" si="317"/>
        <v>31779796</v>
      </c>
      <c r="DL123" s="66">
        <f t="shared" si="318"/>
        <v>0</v>
      </c>
      <c r="DM123" s="66">
        <f t="shared" si="319"/>
        <v>126953221</v>
      </c>
      <c r="DN123" s="66">
        <f t="shared" si="320"/>
        <v>0</v>
      </c>
      <c r="DO123" s="66">
        <f t="shared" si="321"/>
        <v>0</v>
      </c>
      <c r="DP123" s="66">
        <f t="shared" si="322"/>
        <v>4772680</v>
      </c>
      <c r="DQ123" s="66">
        <f t="shared" si="323"/>
        <v>0</v>
      </c>
      <c r="DR123" s="66">
        <f t="shared" si="324"/>
        <v>0</v>
      </c>
      <c r="DS123" s="66">
        <f t="shared" si="325"/>
        <v>0</v>
      </c>
      <c r="DT123" s="66">
        <f t="shared" si="326"/>
        <v>0</v>
      </c>
      <c r="DU123" s="66">
        <f t="shared" si="327"/>
        <v>0</v>
      </c>
      <c r="DV123" s="66">
        <f t="shared" si="328"/>
        <v>0</v>
      </c>
      <c r="DW123" s="66">
        <f t="shared" si="329"/>
        <v>0</v>
      </c>
      <c r="DX123" s="66">
        <f t="shared" si="330"/>
        <v>0</v>
      </c>
      <c r="DY123" s="66"/>
      <c r="DZ123" s="66">
        <f t="shared" si="331"/>
        <v>0</v>
      </c>
      <c r="EB123" s="9">
        <f t="shared" si="215"/>
        <v>11469851222</v>
      </c>
      <c r="EC123" s="9">
        <f t="shared" si="216"/>
        <v>11469851222</v>
      </c>
      <c r="ED123" s="9">
        <f t="shared" si="217"/>
        <v>11469851222</v>
      </c>
    </row>
    <row r="124" spans="1:136" s="76" customFormat="1" ht="34.799999999999997" customHeight="1" x14ac:dyDescent="0.3">
      <c r="A124" s="207"/>
      <c r="B124" s="220"/>
      <c r="C124" s="79" t="s">
        <v>69</v>
      </c>
      <c r="D124" s="71" t="s">
        <v>68</v>
      </c>
      <c r="E124" s="78">
        <v>111</v>
      </c>
      <c r="F124" s="67" t="s">
        <v>67</v>
      </c>
      <c r="G124" s="66">
        <f t="shared" si="285"/>
        <v>1573951198</v>
      </c>
      <c r="H124" s="66"/>
      <c r="I124" s="66"/>
      <c r="J124" s="66"/>
      <c r="K124" s="66"/>
      <c r="L124" s="66">
        <f>1500000000-1500000000</f>
        <v>0</v>
      </c>
      <c r="M124" s="66"/>
      <c r="N124" s="66"/>
      <c r="O124" s="66">
        <f>147239396+120000000-104225677+126444390</f>
        <v>289458109</v>
      </c>
      <c r="P124" s="66">
        <f>5000000+135000000+41930300</f>
        <v>181930300</v>
      </c>
      <c r="Q124" s="66">
        <f>57000000</f>
        <v>57000000</v>
      </c>
      <c r="R124" s="66">
        <f>78000000</f>
        <v>78000000</v>
      </c>
      <c r="S124" s="66"/>
      <c r="T124" s="66">
        <v>66274562</v>
      </c>
      <c r="U124" s="66">
        <v>5000000</v>
      </c>
      <c r="V124" s="66">
        <f>17800000+100017010-20000000-74817010</f>
        <v>23000000</v>
      </c>
      <c r="W124" s="66">
        <v>20000000</v>
      </c>
      <c r="X124" s="66"/>
      <c r="Y124" s="66">
        <f>620237929-25000000</f>
        <v>595237929</v>
      </c>
      <c r="Z124" s="66"/>
      <c r="AA124" s="66"/>
      <c r="AB124" s="66"/>
      <c r="AC124" s="66">
        <f>123550000+296638+18000000-18000000</f>
        <v>123846638</v>
      </c>
      <c r="AD124" s="66">
        <f>70000000+16203660+15000000+33000000</f>
        <v>134203660</v>
      </c>
      <c r="AE124" s="77">
        <f t="shared" si="275"/>
        <v>0.76921061055668127</v>
      </c>
      <c r="AF124" s="66">
        <f t="shared" si="286"/>
        <v>1210699962</v>
      </c>
      <c r="AG124" s="75"/>
      <c r="AH124" s="75"/>
      <c r="AI124" s="75"/>
      <c r="AJ124" s="75"/>
      <c r="AK124" s="75"/>
      <c r="AL124" s="75"/>
      <c r="AM124" s="75"/>
      <c r="AN124" s="75">
        <f>+'[1]OCTUBRE 2019'!$Q$49</f>
        <v>263832905</v>
      </c>
      <c r="AO124" s="75">
        <f>+'[7]AGOSTO 2019'!$Q$49</f>
        <v>99011214</v>
      </c>
      <c r="AP124" s="75">
        <f>+'[7]AGOSTO 2019'!$R$49</f>
        <v>56474170</v>
      </c>
      <c r="AQ124" s="75">
        <f>+'[7]AGOSTO 2019'!$S$49</f>
        <v>54907320</v>
      </c>
      <c r="AR124" s="75"/>
      <c r="AS124" s="75"/>
      <c r="AT124" s="75">
        <f>+'[8]FEBRERO 2019'!$V$26</f>
        <v>3567404</v>
      </c>
      <c r="AU124" s="75">
        <f>+'[10]ABRIL 2019'!$W$31</f>
        <v>23000000</v>
      </c>
      <c r="AV124" s="75">
        <f>+'[10]ABRIL 2019'!$X$31</f>
        <v>20000000</v>
      </c>
      <c r="AW124" s="75"/>
      <c r="AX124" s="75">
        <f>+'[1]OCTUBRE 2019'!$AA$49</f>
        <v>571724458</v>
      </c>
      <c r="AY124" s="75"/>
      <c r="AZ124" s="75"/>
      <c r="BA124" s="75"/>
      <c r="BB124" s="75">
        <f>+'[11]JULIO 2019'!$AE$45</f>
        <v>34000000</v>
      </c>
      <c r="BC124" s="75">
        <f>+'[1]OCTUBRE 2019'!$AG$49</f>
        <v>84182491</v>
      </c>
      <c r="BD124" s="77">
        <f t="shared" si="212"/>
        <v>0.23078938944331873</v>
      </c>
      <c r="BE124" s="66">
        <f t="shared" si="287"/>
        <v>363251236</v>
      </c>
      <c r="BF124" s="66">
        <f t="shared" si="288"/>
        <v>0</v>
      </c>
      <c r="BG124" s="66">
        <f t="shared" si="289"/>
        <v>0</v>
      </c>
      <c r="BH124" s="66"/>
      <c r="BI124" s="66">
        <f t="shared" si="290"/>
        <v>0</v>
      </c>
      <c r="BJ124" s="66">
        <f t="shared" si="291"/>
        <v>0</v>
      </c>
      <c r="BK124" s="66">
        <f t="shared" si="292"/>
        <v>0</v>
      </c>
      <c r="BL124" s="66">
        <f t="shared" si="293"/>
        <v>0</v>
      </c>
      <c r="BM124" s="66">
        <f t="shared" si="294"/>
        <v>25625204</v>
      </c>
      <c r="BN124" s="66">
        <f t="shared" si="295"/>
        <v>82919086</v>
      </c>
      <c r="BO124" s="66">
        <f t="shared" si="296"/>
        <v>525830</v>
      </c>
      <c r="BP124" s="66">
        <f t="shared" si="297"/>
        <v>23092680</v>
      </c>
      <c r="BQ124" s="66">
        <f t="shared" si="298"/>
        <v>0</v>
      </c>
      <c r="BR124" s="66">
        <f t="shared" si="299"/>
        <v>66274562</v>
      </c>
      <c r="BS124" s="66">
        <f t="shared" si="300"/>
        <v>1432596</v>
      </c>
      <c r="BT124" s="66">
        <f t="shared" si="301"/>
        <v>0</v>
      </c>
      <c r="BU124" s="66">
        <f t="shared" si="302"/>
        <v>0</v>
      </c>
      <c r="BV124" s="66">
        <f t="shared" si="303"/>
        <v>0</v>
      </c>
      <c r="BW124" s="66">
        <f t="shared" si="304"/>
        <v>23513471</v>
      </c>
      <c r="BX124" s="66">
        <f t="shared" si="305"/>
        <v>0</v>
      </c>
      <c r="BY124" s="66">
        <f t="shared" si="306"/>
        <v>0</v>
      </c>
      <c r="BZ124" s="66">
        <f t="shared" si="307"/>
        <v>0</v>
      </c>
      <c r="CA124" s="66">
        <f>AC124-BB124</f>
        <v>89846638</v>
      </c>
      <c r="CB124" s="66">
        <f t="shared" si="308"/>
        <v>50021169</v>
      </c>
      <c r="CC124" s="77">
        <f t="shared" si="274"/>
        <v>0.67245130811228626</v>
      </c>
      <c r="CD124" s="66">
        <f t="shared" si="309"/>
        <v>1058405542</v>
      </c>
      <c r="CE124" s="75"/>
      <c r="CF124" s="75"/>
      <c r="CG124" s="75"/>
      <c r="CH124" s="75"/>
      <c r="CI124" s="75"/>
      <c r="CJ124" s="75"/>
      <c r="CK124" s="75"/>
      <c r="CL124" s="66">
        <f>+'[1]OCTUBRE 2019'!$H$56+'[1]OCTUBRE 2019'!$H$66+'[1]OCTUBRE 2019'!$H$73+'[1]OCTUBRE 2019'!$H$98+'[1]OCTUBRE 2019'!$H$105+'[1]OCTUBRE 2019'!$H$112+'[1]OCTUBRE 2019'!$H$121</f>
        <v>250127883</v>
      </c>
      <c r="CM124" s="66">
        <f>+'[7]AGOSTO 2019'!$H$58+'[7]AGOSTO 2019'!$H$67+'[7]AGOSTO 2019'!$H$81</f>
        <v>99011214</v>
      </c>
      <c r="CN124" s="75">
        <f>+'[1]OCTUBRE 2019'!$H$62</f>
        <v>31474170</v>
      </c>
      <c r="CO124" s="75">
        <f>+'[11]JULIO 2019'!$H$58</f>
        <v>54907320</v>
      </c>
      <c r="CP124" s="75"/>
      <c r="CQ124" s="75"/>
      <c r="CR124" s="75">
        <f>+'[8]FEBRERO 2019'!$H$29</f>
        <v>3567404</v>
      </c>
      <c r="CS124" s="75"/>
      <c r="CT124" s="75">
        <f>+'[7]AGOSTO 2019'!$H$76</f>
        <v>19955896</v>
      </c>
      <c r="CU124" s="75"/>
      <c r="CV124" s="75">
        <f>+'[1]OCTUBRE 2019'!$H$71+'[1]OCTUBRE 2019'!$H$75+'[1]OCTUBRE 2019'!$H$90+'[1]OCTUBRE 2019'!$H$95+'[1]OCTUBRE 2019'!$H$119</f>
        <v>533603631</v>
      </c>
      <c r="CW124" s="75"/>
      <c r="CX124" s="75"/>
      <c r="CY124" s="75"/>
      <c r="CZ124" s="75"/>
      <c r="DA124" s="75">
        <f>+'[1]OCTUBRE 2019'!$H$50+'[1]OCTUBRE 2019'!$H$82+'[1]OCTUBRE 2019'!$H$102+'[1]OCTUBRE 2019'!$H$108+'[1]OCTUBRE 2019'!$H$115</f>
        <v>65758024</v>
      </c>
      <c r="DB124" s="77">
        <f t="shared" si="214"/>
        <v>0.32754869188771374</v>
      </c>
      <c r="DC124" s="66">
        <f t="shared" si="310"/>
        <v>515545656</v>
      </c>
      <c r="DD124" s="66">
        <f t="shared" si="311"/>
        <v>0</v>
      </c>
      <c r="DE124" s="66">
        <f t="shared" si="312"/>
        <v>0</v>
      </c>
      <c r="DF124" s="66">
        <f t="shared" ref="DF124:DF130" si="332">J124-CG124</f>
        <v>0</v>
      </c>
      <c r="DG124" s="66">
        <f t="shared" si="313"/>
        <v>0</v>
      </c>
      <c r="DH124" s="66">
        <f t="shared" si="314"/>
        <v>0</v>
      </c>
      <c r="DI124" s="66">
        <f t="shared" si="315"/>
        <v>0</v>
      </c>
      <c r="DJ124" s="66">
        <f t="shared" si="316"/>
        <v>0</v>
      </c>
      <c r="DK124" s="66">
        <f t="shared" si="317"/>
        <v>39330226</v>
      </c>
      <c r="DL124" s="66">
        <f t="shared" si="318"/>
        <v>82919086</v>
      </c>
      <c r="DM124" s="66">
        <f t="shared" si="319"/>
        <v>25525830</v>
      </c>
      <c r="DN124" s="66">
        <f t="shared" si="320"/>
        <v>23092680</v>
      </c>
      <c r="DO124" s="66">
        <f t="shared" si="321"/>
        <v>0</v>
      </c>
      <c r="DP124" s="66">
        <f t="shared" si="322"/>
        <v>66274562</v>
      </c>
      <c r="DQ124" s="66">
        <f t="shared" si="323"/>
        <v>1432596</v>
      </c>
      <c r="DR124" s="66">
        <f t="shared" si="324"/>
        <v>23000000</v>
      </c>
      <c r="DS124" s="66">
        <f t="shared" si="325"/>
        <v>44104</v>
      </c>
      <c r="DT124" s="66">
        <f t="shared" si="326"/>
        <v>0</v>
      </c>
      <c r="DU124" s="66">
        <f t="shared" si="327"/>
        <v>61634298</v>
      </c>
      <c r="DV124" s="66">
        <f t="shared" si="328"/>
        <v>0</v>
      </c>
      <c r="DW124" s="66">
        <f t="shared" si="329"/>
        <v>0</v>
      </c>
      <c r="DX124" s="66">
        <f t="shared" si="330"/>
        <v>0</v>
      </c>
      <c r="DY124" s="66">
        <f>AC124-CZ124</f>
        <v>123846638</v>
      </c>
      <c r="DZ124" s="66">
        <f t="shared" si="331"/>
        <v>68445636</v>
      </c>
      <c r="EB124" s="9">
        <f t="shared" si="215"/>
        <v>1573951198</v>
      </c>
      <c r="EC124" s="9">
        <f t="shared" si="216"/>
        <v>1573951198</v>
      </c>
      <c r="ED124" s="9">
        <f t="shared" si="217"/>
        <v>1573951198</v>
      </c>
      <c r="EF124" s="82"/>
    </row>
    <row r="125" spans="1:136" ht="33" customHeight="1" x14ac:dyDescent="0.3">
      <c r="A125" s="207"/>
      <c r="B125" s="193" t="s">
        <v>66</v>
      </c>
      <c r="C125" s="70" t="s">
        <v>65</v>
      </c>
      <c r="D125" s="71" t="s">
        <v>64</v>
      </c>
      <c r="E125" s="68">
        <v>211</v>
      </c>
      <c r="F125" s="67" t="s">
        <v>63</v>
      </c>
      <c r="G125" s="66">
        <f t="shared" si="285"/>
        <v>1254826690</v>
      </c>
      <c r="H125" s="66"/>
      <c r="I125" s="66"/>
      <c r="J125" s="66"/>
      <c r="K125" s="66"/>
      <c r="L125" s="66"/>
      <c r="M125" s="66"/>
      <c r="N125" s="66"/>
      <c r="O125" s="66">
        <f>300000000+340559960</f>
        <v>640559960</v>
      </c>
      <c r="P125" s="66">
        <f>159000000+80000000</f>
        <v>239000000</v>
      </c>
      <c r="Q125" s="66">
        <f>115000000</f>
        <v>115000000</v>
      </c>
      <c r="R125" s="66">
        <f>75000000-75000000</f>
        <v>0</v>
      </c>
      <c r="S125" s="66"/>
      <c r="T125" s="66">
        <v>45000000</v>
      </c>
      <c r="U125" s="66">
        <v>30905320</v>
      </c>
      <c r="V125" s="66">
        <f>45200000-45200000</f>
        <v>0</v>
      </c>
      <c r="W125" s="66"/>
      <c r="X125" s="66"/>
      <c r="Y125" s="66"/>
      <c r="Z125" s="66"/>
      <c r="AA125" s="66"/>
      <c r="AB125" s="66"/>
      <c r="AC125" s="66">
        <f>14405126+45956284</f>
        <v>60361410</v>
      </c>
      <c r="AD125" s="66">
        <f>93000000+22000000+9000000</f>
        <v>124000000</v>
      </c>
      <c r="AE125" s="22">
        <f t="shared" si="275"/>
        <v>0.77378856916089345</v>
      </c>
      <c r="AF125" s="66">
        <f t="shared" si="286"/>
        <v>970970549</v>
      </c>
      <c r="AG125" s="66"/>
      <c r="AH125" s="66"/>
      <c r="AI125" s="66"/>
      <c r="AJ125" s="66"/>
      <c r="AK125" s="66"/>
      <c r="AL125" s="66"/>
      <c r="AM125" s="66"/>
      <c r="AN125" s="66">
        <f>+'[1]OCTUBRE 2019'!$Q$137</f>
        <v>574313638</v>
      </c>
      <c r="AO125" s="66">
        <f>+'[7]AGOSTO 2019'!$Q$110</f>
        <v>239000000</v>
      </c>
      <c r="AP125" s="66"/>
      <c r="AQ125" s="66"/>
      <c r="AR125" s="66"/>
      <c r="AS125" s="66">
        <v>45000000</v>
      </c>
      <c r="AT125" s="66"/>
      <c r="AU125" s="66"/>
      <c r="AV125" s="66"/>
      <c r="AW125" s="66"/>
      <c r="AX125" s="66"/>
      <c r="AY125" s="66"/>
      <c r="AZ125" s="66"/>
      <c r="BA125" s="66"/>
      <c r="BB125" s="66">
        <f>+'[7]AGOSTO 2019'!$AE$110</f>
        <v>45956280</v>
      </c>
      <c r="BC125" s="66">
        <f>+'[1]OCTUBRE 2019'!$AG$137</f>
        <v>66700631</v>
      </c>
      <c r="BD125" s="22">
        <f t="shared" si="212"/>
        <v>0.22621143083910655</v>
      </c>
      <c r="BE125" s="66">
        <f t="shared" si="287"/>
        <v>283856141</v>
      </c>
      <c r="BF125" s="66">
        <f t="shared" si="288"/>
        <v>0</v>
      </c>
      <c r="BG125" s="66">
        <f t="shared" si="289"/>
        <v>0</v>
      </c>
      <c r="BH125" s="66">
        <f t="shared" ref="BH125:BH130" si="333">J125-AI125</f>
        <v>0</v>
      </c>
      <c r="BI125" s="66">
        <f t="shared" si="290"/>
        <v>0</v>
      </c>
      <c r="BJ125" s="66">
        <f t="shared" si="291"/>
        <v>0</v>
      </c>
      <c r="BK125" s="66">
        <f t="shared" si="292"/>
        <v>0</v>
      </c>
      <c r="BL125" s="66">
        <f t="shared" si="293"/>
        <v>0</v>
      </c>
      <c r="BM125" s="66">
        <f t="shared" si="294"/>
        <v>66246322</v>
      </c>
      <c r="BN125" s="66">
        <f t="shared" si="295"/>
        <v>0</v>
      </c>
      <c r="BO125" s="66">
        <f t="shared" si="296"/>
        <v>115000000</v>
      </c>
      <c r="BP125" s="66">
        <f t="shared" si="297"/>
        <v>0</v>
      </c>
      <c r="BQ125" s="66">
        <f t="shared" si="298"/>
        <v>0</v>
      </c>
      <c r="BR125" s="66">
        <f t="shared" si="299"/>
        <v>0</v>
      </c>
      <c r="BS125" s="66">
        <f t="shared" si="300"/>
        <v>30905320</v>
      </c>
      <c r="BT125" s="66">
        <f t="shared" si="301"/>
        <v>0</v>
      </c>
      <c r="BU125" s="66">
        <f t="shared" si="302"/>
        <v>0</v>
      </c>
      <c r="BV125" s="66">
        <f t="shared" si="303"/>
        <v>0</v>
      </c>
      <c r="BW125" s="66">
        <f t="shared" si="304"/>
        <v>0</v>
      </c>
      <c r="BX125" s="66">
        <f t="shared" si="305"/>
        <v>0</v>
      </c>
      <c r="BY125" s="66">
        <f t="shared" si="306"/>
        <v>0</v>
      </c>
      <c r="BZ125" s="66">
        <f t="shared" si="307"/>
        <v>0</v>
      </c>
      <c r="CA125" s="66">
        <f>AC125-BB125</f>
        <v>14405130</v>
      </c>
      <c r="CB125" s="66">
        <f t="shared" si="308"/>
        <v>57299369</v>
      </c>
      <c r="CC125" s="22">
        <f t="shared" si="274"/>
        <v>0.26485519765283283</v>
      </c>
      <c r="CD125" s="66">
        <f t="shared" si="309"/>
        <v>332347371</v>
      </c>
      <c r="CE125" s="66"/>
      <c r="CF125" s="66"/>
      <c r="CG125" s="66"/>
      <c r="CH125" s="66"/>
      <c r="CI125" s="66"/>
      <c r="CJ125" s="66"/>
      <c r="CK125" s="66"/>
      <c r="CL125" s="66">
        <f>+'[1]OCTUBRE 2019'!$H$146+'[1]OCTUBRE 2019'!$H$151+'[1]OCTUBRE 2019'!$H$156+'[1]OCTUBRE 2019'!$H$170</f>
        <v>241721314</v>
      </c>
      <c r="CM125" s="66"/>
      <c r="CN125" s="66"/>
      <c r="CO125" s="66"/>
      <c r="CP125" s="66"/>
      <c r="CQ125" s="66"/>
      <c r="CR125" s="66"/>
      <c r="CS125" s="66"/>
      <c r="CT125" s="66"/>
      <c r="CU125" s="66"/>
      <c r="CV125" s="66"/>
      <c r="CW125" s="66"/>
      <c r="CX125" s="66"/>
      <c r="CY125" s="66"/>
      <c r="CZ125" s="66">
        <f>+'[6]MAYO 2019'!$H$80</f>
        <v>45956280</v>
      </c>
      <c r="DA125" s="75">
        <f>+'[1]OCTUBRE 2019'!$H$138+'[1]OCTUBRE 2019'!$H$143+'[1]OCTUBRE 2019'!$H$161+'[1]OCTUBRE 2019'!$H$174</f>
        <v>44669777</v>
      </c>
      <c r="DB125" s="22">
        <f t="shared" si="214"/>
        <v>0.73514480234716717</v>
      </c>
      <c r="DC125" s="66">
        <f t="shared" si="310"/>
        <v>922479319</v>
      </c>
      <c r="DD125" s="66">
        <f t="shared" si="311"/>
        <v>0</v>
      </c>
      <c r="DE125" s="66">
        <f t="shared" si="312"/>
        <v>0</v>
      </c>
      <c r="DF125" s="66">
        <f t="shared" si="332"/>
        <v>0</v>
      </c>
      <c r="DG125" s="66">
        <f t="shared" si="313"/>
        <v>0</v>
      </c>
      <c r="DH125" s="66">
        <f t="shared" si="314"/>
        <v>0</v>
      </c>
      <c r="DI125" s="66">
        <f t="shared" si="315"/>
        <v>0</v>
      </c>
      <c r="DJ125" s="66">
        <f t="shared" si="316"/>
        <v>0</v>
      </c>
      <c r="DK125" s="66">
        <f t="shared" si="317"/>
        <v>398838646</v>
      </c>
      <c r="DL125" s="66">
        <f t="shared" si="318"/>
        <v>239000000</v>
      </c>
      <c r="DM125" s="66">
        <f t="shared" si="319"/>
        <v>115000000</v>
      </c>
      <c r="DN125" s="66">
        <f t="shared" si="320"/>
        <v>0</v>
      </c>
      <c r="DO125" s="66">
        <f t="shared" si="321"/>
        <v>0</v>
      </c>
      <c r="DP125" s="66">
        <f t="shared" si="322"/>
        <v>45000000</v>
      </c>
      <c r="DQ125" s="66">
        <f t="shared" si="323"/>
        <v>30905320</v>
      </c>
      <c r="DR125" s="66">
        <f t="shared" si="324"/>
        <v>0</v>
      </c>
      <c r="DS125" s="66">
        <f t="shared" si="325"/>
        <v>0</v>
      </c>
      <c r="DT125" s="66">
        <f t="shared" si="326"/>
        <v>0</v>
      </c>
      <c r="DU125" s="66">
        <f t="shared" si="327"/>
        <v>0</v>
      </c>
      <c r="DV125" s="66">
        <f t="shared" si="328"/>
        <v>0</v>
      </c>
      <c r="DW125" s="66">
        <f t="shared" si="329"/>
        <v>0</v>
      </c>
      <c r="DX125" s="66">
        <f t="shared" si="330"/>
        <v>0</v>
      </c>
      <c r="DY125" s="66">
        <f>AC125-CZ125</f>
        <v>14405130</v>
      </c>
      <c r="DZ125" s="66">
        <f t="shared" si="331"/>
        <v>79330223</v>
      </c>
      <c r="EB125" s="9">
        <f t="shared" si="215"/>
        <v>1254826690</v>
      </c>
      <c r="EC125" s="9">
        <f t="shared" si="216"/>
        <v>1254826690</v>
      </c>
      <c r="ED125" s="9">
        <f t="shared" si="217"/>
        <v>1254826690</v>
      </c>
    </row>
    <row r="126" spans="1:136" ht="35.4" customHeight="1" x14ac:dyDescent="0.3">
      <c r="A126" s="207"/>
      <c r="B126" s="194"/>
      <c r="C126" s="70" t="s">
        <v>62</v>
      </c>
      <c r="D126" s="81" t="s">
        <v>61</v>
      </c>
      <c r="E126" s="68">
        <v>211</v>
      </c>
      <c r="F126" s="67" t="s">
        <v>60</v>
      </c>
      <c r="G126" s="66">
        <f t="shared" si="285"/>
        <v>3236110161</v>
      </c>
      <c r="H126" s="66"/>
      <c r="I126" s="66"/>
      <c r="J126" s="66"/>
      <c r="K126" s="66"/>
      <c r="L126" s="66"/>
      <c r="M126" s="66"/>
      <c r="N126" s="66"/>
      <c r="O126" s="66">
        <f>319000000+200000000+104225677</f>
        <v>623225677</v>
      </c>
      <c r="P126" s="66">
        <f>200630318+220000000</f>
        <v>420630318</v>
      </c>
      <c r="Q126" s="66">
        <f>93000000+341800300</f>
        <v>434800300</v>
      </c>
      <c r="R126" s="66">
        <f>47000000+75000000+8786495</f>
        <v>130786495</v>
      </c>
      <c r="S126" s="66"/>
      <c r="T126" s="66">
        <v>5000000</v>
      </c>
      <c r="U126" s="66"/>
      <c r="V126" s="66">
        <f>20000000+45200000+106930178</f>
        <v>172130178</v>
      </c>
      <c r="W126" s="66">
        <v>50000000</v>
      </c>
      <c r="X126" s="66"/>
      <c r="Y126" s="66">
        <v>750000000</v>
      </c>
      <c r="Z126" s="66"/>
      <c r="AA126" s="66"/>
      <c r="AB126" s="66"/>
      <c r="AC126" s="66">
        <f>149490840+13172000+18000000</f>
        <v>180662840</v>
      </c>
      <c r="AD126" s="66">
        <f>194000000+50000000+2500000+114010258+74102759+4261336+20000000+10000000</f>
        <v>468874353</v>
      </c>
      <c r="AE126" s="22">
        <f t="shared" si="275"/>
        <v>0.93253312089581863</v>
      </c>
      <c r="AF126" s="66">
        <f t="shared" si="286"/>
        <v>3017779908</v>
      </c>
      <c r="AG126" s="66"/>
      <c r="AH126" s="66"/>
      <c r="AI126" s="66"/>
      <c r="AJ126" s="66"/>
      <c r="AK126" s="66"/>
      <c r="AL126" s="66"/>
      <c r="AM126" s="66"/>
      <c r="AN126" s="66">
        <f>+'[1]OCTUBRE 2019'!$Q$187</f>
        <v>622482913</v>
      </c>
      <c r="AO126" s="66">
        <f>+'[1]OCTUBRE 2019'!$R$187</f>
        <v>387197714</v>
      </c>
      <c r="AP126" s="66">
        <f>+'[1]OCTUBRE 2019'!$S$187</f>
        <v>434683892</v>
      </c>
      <c r="AQ126" s="66">
        <f>+'[1]OCTUBRE 2019'!$T$187</f>
        <v>75566279</v>
      </c>
      <c r="AR126" s="66"/>
      <c r="AS126" s="66"/>
      <c r="AT126" s="66"/>
      <c r="AU126" s="66">
        <f>+'[1]OCTUBRE 2019'!$X$187</f>
        <v>172130178</v>
      </c>
      <c r="AV126" s="66">
        <f>+'[10]ABRIL 2019'!$X$73</f>
        <v>50000000</v>
      </c>
      <c r="AW126" s="66"/>
      <c r="AX126" s="66">
        <f>+'[2]SEPTIEMBRE 2019'!$AA$158</f>
        <v>744901055</v>
      </c>
      <c r="AY126" s="66"/>
      <c r="AZ126" s="66"/>
      <c r="BA126" s="66"/>
      <c r="BB126" s="66">
        <f>+'[7]AGOSTO 2019'!$AE$137</f>
        <v>123006604</v>
      </c>
      <c r="BC126" s="66">
        <f>+'[1]OCTUBRE 2019'!$AG$187</f>
        <v>407811273</v>
      </c>
      <c r="BD126" s="22">
        <f t="shared" si="212"/>
        <v>6.7466879104181365E-2</v>
      </c>
      <c r="BE126" s="66">
        <f t="shared" si="287"/>
        <v>218330253</v>
      </c>
      <c r="BF126" s="66">
        <f t="shared" si="288"/>
        <v>0</v>
      </c>
      <c r="BG126" s="66">
        <f t="shared" si="289"/>
        <v>0</v>
      </c>
      <c r="BH126" s="66">
        <f t="shared" si="333"/>
        <v>0</v>
      </c>
      <c r="BI126" s="66">
        <f t="shared" si="290"/>
        <v>0</v>
      </c>
      <c r="BJ126" s="66">
        <f t="shared" si="291"/>
        <v>0</v>
      </c>
      <c r="BK126" s="66">
        <f t="shared" si="292"/>
        <v>0</v>
      </c>
      <c r="BL126" s="66">
        <f t="shared" si="293"/>
        <v>0</v>
      </c>
      <c r="BM126" s="66">
        <f t="shared" si="294"/>
        <v>742764</v>
      </c>
      <c r="BN126" s="66">
        <f t="shared" si="295"/>
        <v>33432604</v>
      </c>
      <c r="BO126" s="66">
        <f t="shared" si="296"/>
        <v>116408</v>
      </c>
      <c r="BP126" s="66">
        <f t="shared" si="297"/>
        <v>55220216</v>
      </c>
      <c r="BQ126" s="66">
        <f t="shared" si="298"/>
        <v>0</v>
      </c>
      <c r="BR126" s="66">
        <f t="shared" si="299"/>
        <v>5000000</v>
      </c>
      <c r="BS126" s="66">
        <f t="shared" si="300"/>
        <v>0</v>
      </c>
      <c r="BT126" s="66">
        <f t="shared" si="301"/>
        <v>0</v>
      </c>
      <c r="BU126" s="66">
        <f t="shared" si="302"/>
        <v>0</v>
      </c>
      <c r="BV126" s="66">
        <f t="shared" si="303"/>
        <v>0</v>
      </c>
      <c r="BW126" s="66">
        <f t="shared" si="304"/>
        <v>5098945</v>
      </c>
      <c r="BX126" s="66">
        <f t="shared" si="305"/>
        <v>0</v>
      </c>
      <c r="BY126" s="66">
        <f t="shared" si="306"/>
        <v>0</v>
      </c>
      <c r="BZ126" s="66">
        <f t="shared" si="307"/>
        <v>0</v>
      </c>
      <c r="CA126" s="66">
        <f>AC126-BB126</f>
        <v>57656236</v>
      </c>
      <c r="CB126" s="66">
        <f t="shared" si="308"/>
        <v>61063080</v>
      </c>
      <c r="CC126" s="22">
        <f t="shared" si="274"/>
        <v>0.65352511372680677</v>
      </c>
      <c r="CD126" s="80">
        <f t="shared" si="309"/>
        <v>2114879261</v>
      </c>
      <c r="CE126" s="66"/>
      <c r="CF126" s="66"/>
      <c r="CG126" s="66"/>
      <c r="CH126" s="66"/>
      <c r="CI126" s="66"/>
      <c r="CJ126" s="66"/>
      <c r="CK126" s="66"/>
      <c r="CL126" s="66">
        <f>+'[2]SEPTIEMBRE 2019'!$H$187+'[2]SEPTIEMBRE 2019'!$H$210+'[2]SEPTIEMBRE 2019'!$H$231</f>
        <v>622482913</v>
      </c>
      <c r="CM126" s="66">
        <f>+'[2]SEPTIEMBRE 2019'!$H$166+'[2]SEPTIEMBRE 2019'!$H$216+'[2]SEPTIEMBRE 2019'!$H$219+'[2]SEPTIEMBRE 2019'!$H$225</f>
        <v>187193274</v>
      </c>
      <c r="CN126" s="66">
        <f>+'[2]SEPTIEMBRE 2019'!$H$164+'[2]SEPTIEMBRE 2019'!$H$222</f>
        <v>92883592</v>
      </c>
      <c r="CO126" s="66">
        <f>+'[11]JULIO 2019'!$H$136+'[11]JULIO 2019'!$H$158</f>
        <v>41135657</v>
      </c>
      <c r="CP126" s="66"/>
      <c r="CQ126" s="66"/>
      <c r="CR126" s="66"/>
      <c r="CS126" s="66">
        <f>+'[11]JULIO 2019'!$H$160</f>
        <v>20000000</v>
      </c>
      <c r="CT126" s="66">
        <f>+'[7]AGOSTO 2019'!$H$159</f>
        <v>29024945</v>
      </c>
      <c r="CU126" s="66"/>
      <c r="CV126" s="66">
        <f>+'[2]SEPTIEMBRE 2019'!$H$170+'[2]SEPTIEMBRE 2019'!$H$174+'[2]SEPTIEMBRE 2019'!$H$228</f>
        <v>744901055</v>
      </c>
      <c r="CW126" s="66"/>
      <c r="CX126" s="66"/>
      <c r="CY126" s="66"/>
      <c r="CZ126" s="66">
        <f>+'[1]OCTUBRE 2019'!$H$224+'[1]OCTUBRE 2019'!$H$234+'[1]OCTUBRE 2019'!$H$237+'[1]OCTUBRE 2019'!$H$247</f>
        <v>98343631</v>
      </c>
      <c r="DA126" s="66">
        <f>+'[1]OCTUBRE 2019'!$H$188+'[1]OCTUBRE 2019'!$H$192+'[1]OCTUBRE 2019'!$H$207+'[1]OCTUBRE 2019'!$H$217+'[1]OCTUBRE 2019'!$H$240+'[1]OCTUBRE 2019'!$G$267</f>
        <v>278914194</v>
      </c>
      <c r="DB126" s="22">
        <f t="shared" si="214"/>
        <v>0.34647488627319323</v>
      </c>
      <c r="DC126" s="66">
        <f t="shared" si="310"/>
        <v>1121230900</v>
      </c>
      <c r="DD126" s="66">
        <f t="shared" si="311"/>
        <v>0</v>
      </c>
      <c r="DE126" s="66">
        <f t="shared" si="312"/>
        <v>0</v>
      </c>
      <c r="DF126" s="66">
        <f t="shared" si="332"/>
        <v>0</v>
      </c>
      <c r="DG126" s="66">
        <f t="shared" si="313"/>
        <v>0</v>
      </c>
      <c r="DH126" s="66">
        <f t="shared" si="314"/>
        <v>0</v>
      </c>
      <c r="DI126" s="66">
        <f t="shared" si="315"/>
        <v>0</v>
      </c>
      <c r="DJ126" s="66">
        <f t="shared" si="316"/>
        <v>0</v>
      </c>
      <c r="DK126" s="66">
        <f t="shared" si="317"/>
        <v>742764</v>
      </c>
      <c r="DL126" s="66">
        <f t="shared" si="318"/>
        <v>233437044</v>
      </c>
      <c r="DM126" s="66">
        <f t="shared" si="319"/>
        <v>341916708</v>
      </c>
      <c r="DN126" s="66">
        <f t="shared" si="320"/>
        <v>89650838</v>
      </c>
      <c r="DO126" s="66">
        <f t="shared" si="321"/>
        <v>0</v>
      </c>
      <c r="DP126" s="66">
        <f t="shared" si="322"/>
        <v>5000000</v>
      </c>
      <c r="DQ126" s="66">
        <f t="shared" si="323"/>
        <v>0</v>
      </c>
      <c r="DR126" s="66">
        <f t="shared" si="324"/>
        <v>152130178</v>
      </c>
      <c r="DS126" s="66">
        <f t="shared" si="325"/>
        <v>20975055</v>
      </c>
      <c r="DT126" s="66">
        <f t="shared" si="326"/>
        <v>0</v>
      </c>
      <c r="DU126" s="66">
        <f t="shared" si="327"/>
        <v>5098945</v>
      </c>
      <c r="DV126" s="66">
        <f t="shared" si="328"/>
        <v>0</v>
      </c>
      <c r="DW126" s="66">
        <f t="shared" si="329"/>
        <v>0</v>
      </c>
      <c r="DX126" s="66">
        <f t="shared" si="330"/>
        <v>0</v>
      </c>
      <c r="DY126" s="66">
        <f>AC126-CZ126</f>
        <v>82319209</v>
      </c>
      <c r="DZ126" s="66">
        <f t="shared" si="331"/>
        <v>189960159</v>
      </c>
      <c r="EB126" s="9">
        <f t="shared" si="215"/>
        <v>3236110161</v>
      </c>
      <c r="EC126" s="9">
        <f t="shared" si="216"/>
        <v>3236110161</v>
      </c>
      <c r="ED126" s="9">
        <f t="shared" si="217"/>
        <v>3236110161</v>
      </c>
      <c r="EF126" s="9"/>
    </row>
    <row r="127" spans="1:136" s="76" customFormat="1" ht="39.6" customHeight="1" x14ac:dyDescent="0.3">
      <c r="A127" s="207"/>
      <c r="B127" s="194"/>
      <c r="C127" s="79" t="s">
        <v>59</v>
      </c>
      <c r="D127" s="69" t="s">
        <v>58</v>
      </c>
      <c r="E127" s="78">
        <v>211</v>
      </c>
      <c r="F127" s="67" t="s">
        <v>57</v>
      </c>
      <c r="G127" s="66">
        <f t="shared" si="285"/>
        <v>272255443</v>
      </c>
      <c r="H127" s="35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>
        <v>240806613</v>
      </c>
      <c r="Y127" s="66"/>
      <c r="Z127" s="66"/>
      <c r="AA127" s="66"/>
      <c r="AB127" s="66"/>
      <c r="AC127" s="66"/>
      <c r="AD127" s="66">
        <f>77448830-4000000-9000000-33000000</f>
        <v>31448830</v>
      </c>
      <c r="AE127" s="77">
        <f t="shared" si="275"/>
        <v>0.96012110215184931</v>
      </c>
      <c r="AF127" s="66">
        <f t="shared" si="286"/>
        <v>261398196</v>
      </c>
      <c r="AG127" s="75"/>
      <c r="AH127" s="75"/>
      <c r="AI127" s="75"/>
      <c r="AJ127" s="75"/>
      <c r="AK127" s="75"/>
      <c r="AL127" s="75"/>
      <c r="AM127" s="75"/>
      <c r="AN127" s="75"/>
      <c r="AO127" s="75"/>
      <c r="AP127" s="75"/>
      <c r="AQ127" s="75"/>
      <c r="AR127" s="75"/>
      <c r="AS127" s="75"/>
      <c r="AT127" s="75"/>
      <c r="AU127" s="75"/>
      <c r="AV127" s="75"/>
      <c r="AW127" s="75">
        <f>+'[1]OCTUBRE 2019'!$Z$292</f>
        <v>234490366</v>
      </c>
      <c r="AX127" s="75"/>
      <c r="AY127" s="75"/>
      <c r="AZ127" s="75"/>
      <c r="BA127" s="75"/>
      <c r="BB127" s="75"/>
      <c r="BC127" s="75">
        <f>+'[1]OCTUBRE 2019'!$AG$292</f>
        <v>26907830</v>
      </c>
      <c r="BD127" s="77">
        <f t="shared" si="212"/>
        <v>3.9878897848150685E-2</v>
      </c>
      <c r="BE127" s="66">
        <f t="shared" si="287"/>
        <v>10857247</v>
      </c>
      <c r="BF127" s="66">
        <f t="shared" si="288"/>
        <v>0</v>
      </c>
      <c r="BG127" s="66">
        <f t="shared" si="289"/>
        <v>0</v>
      </c>
      <c r="BH127" s="66">
        <f t="shared" si="333"/>
        <v>0</v>
      </c>
      <c r="BI127" s="66">
        <f t="shared" si="290"/>
        <v>0</v>
      </c>
      <c r="BJ127" s="66">
        <f t="shared" si="291"/>
        <v>0</v>
      </c>
      <c r="BK127" s="66">
        <f t="shared" si="292"/>
        <v>0</v>
      </c>
      <c r="BL127" s="66">
        <f t="shared" si="293"/>
        <v>0</v>
      </c>
      <c r="BM127" s="66">
        <f t="shared" si="294"/>
        <v>0</v>
      </c>
      <c r="BN127" s="66">
        <f t="shared" si="295"/>
        <v>0</v>
      </c>
      <c r="BO127" s="66">
        <f t="shared" si="296"/>
        <v>0</v>
      </c>
      <c r="BP127" s="66">
        <f t="shared" si="297"/>
        <v>0</v>
      </c>
      <c r="BQ127" s="66">
        <f t="shared" si="298"/>
        <v>0</v>
      </c>
      <c r="BR127" s="66">
        <f t="shared" si="299"/>
        <v>0</v>
      </c>
      <c r="BS127" s="66">
        <f t="shared" si="300"/>
        <v>0</v>
      </c>
      <c r="BT127" s="66">
        <f t="shared" si="301"/>
        <v>0</v>
      </c>
      <c r="BU127" s="66">
        <f t="shared" si="302"/>
        <v>0</v>
      </c>
      <c r="BV127" s="66">
        <f t="shared" si="303"/>
        <v>6316247</v>
      </c>
      <c r="BW127" s="66">
        <f t="shared" si="304"/>
        <v>0</v>
      </c>
      <c r="BX127" s="66">
        <f t="shared" si="305"/>
        <v>0</v>
      </c>
      <c r="BY127" s="66">
        <f t="shared" si="306"/>
        <v>0</v>
      </c>
      <c r="BZ127" s="66">
        <f t="shared" si="307"/>
        <v>0</v>
      </c>
      <c r="CA127" s="66"/>
      <c r="CB127" s="66">
        <f t="shared" si="308"/>
        <v>4541000</v>
      </c>
      <c r="CC127" s="77">
        <f t="shared" si="274"/>
        <v>0.85692876670972562</v>
      </c>
      <c r="CD127" s="66">
        <f t="shared" si="309"/>
        <v>233303521</v>
      </c>
      <c r="CE127" s="75"/>
      <c r="CF127" s="75"/>
      <c r="CG127" s="75"/>
      <c r="CH127" s="75"/>
      <c r="CI127" s="75"/>
      <c r="CJ127" s="75"/>
      <c r="CK127" s="75"/>
      <c r="CL127" s="75"/>
      <c r="CM127" s="75"/>
      <c r="CN127" s="75"/>
      <c r="CO127" s="75"/>
      <c r="CP127" s="75"/>
      <c r="CQ127" s="75"/>
      <c r="CR127" s="75"/>
      <c r="CS127" s="75"/>
      <c r="CT127" s="75"/>
      <c r="CU127" s="75">
        <f>+'[1]OCTUBRE 2019'!$H$294+'[1]OCTUBRE 2019'!$H$296+'[1]OCTUBRE 2019'!$H$299+'[1]OCTUBRE 2019'!$H$303+'[1]OCTUBRE 2019'!$H$306+'[1]OCTUBRE 2019'!$H$309+'[1]OCTUBRE 2019'!$H$313+'[1]OCTUBRE 2019'!$H$315+'[1]OCTUBRE 2019'!$H$318+'[1]OCTUBRE 2019'!$H$321+'[1]OCTUBRE 2019'!$H$324+'[1]OCTUBRE 2019'!$H$327</f>
        <v>207628691</v>
      </c>
      <c r="CV127" s="75"/>
      <c r="CW127" s="75"/>
      <c r="CX127" s="75"/>
      <c r="CY127" s="75"/>
      <c r="CZ127" s="75"/>
      <c r="DA127" s="75">
        <f>+'[1]OCTUBRE 2019'!$H$330+'[1]OCTUBRE 2019'!$H$335+'[1]OCTUBRE 2019'!$H$338+'[1]OCTUBRE 2019'!$H$341</f>
        <v>25674830</v>
      </c>
      <c r="DB127" s="77">
        <f t="shared" si="214"/>
        <v>0.14307123329027438</v>
      </c>
      <c r="DC127" s="66">
        <f t="shared" si="310"/>
        <v>38951922</v>
      </c>
      <c r="DD127" s="66">
        <f t="shared" si="311"/>
        <v>0</v>
      </c>
      <c r="DE127" s="66">
        <f t="shared" si="312"/>
        <v>0</v>
      </c>
      <c r="DF127" s="66">
        <f t="shared" si="332"/>
        <v>0</v>
      </c>
      <c r="DG127" s="66">
        <f t="shared" si="313"/>
        <v>0</v>
      </c>
      <c r="DH127" s="66">
        <f t="shared" si="314"/>
        <v>0</v>
      </c>
      <c r="DI127" s="66">
        <f t="shared" si="315"/>
        <v>0</v>
      </c>
      <c r="DJ127" s="66">
        <f t="shared" si="316"/>
        <v>0</v>
      </c>
      <c r="DK127" s="66">
        <f t="shared" si="317"/>
        <v>0</v>
      </c>
      <c r="DL127" s="66">
        <f t="shared" si="318"/>
        <v>0</v>
      </c>
      <c r="DM127" s="66">
        <f t="shared" si="319"/>
        <v>0</v>
      </c>
      <c r="DN127" s="66">
        <f t="shared" si="320"/>
        <v>0</v>
      </c>
      <c r="DO127" s="66">
        <f t="shared" si="321"/>
        <v>0</v>
      </c>
      <c r="DP127" s="66">
        <f t="shared" si="322"/>
        <v>0</v>
      </c>
      <c r="DQ127" s="66">
        <f t="shared" si="323"/>
        <v>0</v>
      </c>
      <c r="DR127" s="66">
        <f t="shared" si="324"/>
        <v>0</v>
      </c>
      <c r="DS127" s="66">
        <f t="shared" si="325"/>
        <v>0</v>
      </c>
      <c r="DT127" s="66">
        <f t="shared" si="326"/>
        <v>33177922</v>
      </c>
      <c r="DU127" s="66">
        <f t="shared" si="327"/>
        <v>0</v>
      </c>
      <c r="DV127" s="66">
        <f t="shared" si="328"/>
        <v>0</v>
      </c>
      <c r="DW127" s="66">
        <f t="shared" si="329"/>
        <v>0</v>
      </c>
      <c r="DX127" s="66">
        <f t="shared" si="330"/>
        <v>0</v>
      </c>
      <c r="DY127" s="66"/>
      <c r="DZ127" s="66">
        <f t="shared" si="331"/>
        <v>5774000</v>
      </c>
      <c r="EB127" s="9">
        <f t="shared" si="215"/>
        <v>272255443</v>
      </c>
      <c r="EC127" s="9">
        <f t="shared" si="216"/>
        <v>272255443</v>
      </c>
      <c r="ED127" s="9">
        <f t="shared" si="217"/>
        <v>272255443</v>
      </c>
      <c r="EF127" s="9"/>
    </row>
    <row r="128" spans="1:136" ht="24" customHeight="1" x14ac:dyDescent="0.3">
      <c r="A128" s="207"/>
      <c r="B128" s="194"/>
      <c r="C128" s="70" t="s">
        <v>56</v>
      </c>
      <c r="D128" s="71" t="s">
        <v>55</v>
      </c>
      <c r="E128" s="68">
        <v>211</v>
      </c>
      <c r="F128" s="67" t="s">
        <v>54</v>
      </c>
      <c r="G128" s="66">
        <f t="shared" si="285"/>
        <v>377500000</v>
      </c>
      <c r="H128" s="35"/>
      <c r="I128" s="66"/>
      <c r="J128" s="66"/>
      <c r="K128" s="66"/>
      <c r="L128" s="66"/>
      <c r="M128" s="66"/>
      <c r="N128" s="66"/>
      <c r="O128" s="66">
        <v>343000000</v>
      </c>
      <c r="P128" s="66"/>
      <c r="Q128" s="66"/>
      <c r="R128" s="66"/>
      <c r="S128" s="66"/>
      <c r="T128" s="66"/>
      <c r="U128" s="66">
        <f>25000000+5000000</f>
        <v>30000000</v>
      </c>
      <c r="V128" s="66"/>
      <c r="W128" s="66"/>
      <c r="X128" s="66"/>
      <c r="Y128" s="66"/>
      <c r="Z128" s="66"/>
      <c r="AA128" s="66"/>
      <c r="AB128" s="66"/>
      <c r="AC128" s="66"/>
      <c r="AD128" s="66">
        <f>4500000</f>
        <v>4500000</v>
      </c>
      <c r="AE128" s="22">
        <f t="shared" si="275"/>
        <v>0.818959242384106</v>
      </c>
      <c r="AF128" s="66">
        <f t="shared" si="286"/>
        <v>309157114</v>
      </c>
      <c r="AG128" s="66"/>
      <c r="AH128" s="66"/>
      <c r="AI128" s="66"/>
      <c r="AJ128" s="66"/>
      <c r="AK128" s="66"/>
      <c r="AL128" s="66"/>
      <c r="AM128" s="66"/>
      <c r="AN128" s="66">
        <f>+'[1]OCTUBRE 2019'!$Q$351</f>
        <v>275811298</v>
      </c>
      <c r="AO128" s="66"/>
      <c r="AP128" s="66"/>
      <c r="AQ128" s="66"/>
      <c r="AR128" s="66"/>
      <c r="AS128" s="66"/>
      <c r="AT128" s="66">
        <f>+'[7]AGOSTO 2019'!$V$223</f>
        <v>28845816</v>
      </c>
      <c r="AU128" s="66"/>
      <c r="AV128" s="66"/>
      <c r="AW128" s="66"/>
      <c r="AX128" s="66"/>
      <c r="AY128" s="66"/>
      <c r="AZ128" s="66"/>
      <c r="BA128" s="66"/>
      <c r="BB128" s="66"/>
      <c r="BC128" s="75">
        <f>+'[6]MAYO 2019'!$AF$125</f>
        <v>4500000</v>
      </c>
      <c r="BD128" s="22">
        <f t="shared" si="212"/>
        <v>0.181040757615894</v>
      </c>
      <c r="BE128" s="66">
        <f t="shared" si="287"/>
        <v>68342886</v>
      </c>
      <c r="BF128" s="66">
        <f t="shared" si="288"/>
        <v>0</v>
      </c>
      <c r="BG128" s="66">
        <f t="shared" si="289"/>
        <v>0</v>
      </c>
      <c r="BH128" s="66">
        <f t="shared" si="333"/>
        <v>0</v>
      </c>
      <c r="BI128" s="66">
        <f t="shared" si="290"/>
        <v>0</v>
      </c>
      <c r="BJ128" s="66">
        <f t="shared" si="291"/>
        <v>0</v>
      </c>
      <c r="BK128" s="66">
        <f t="shared" si="292"/>
        <v>0</v>
      </c>
      <c r="BL128" s="66">
        <f t="shared" si="293"/>
        <v>0</v>
      </c>
      <c r="BM128" s="66">
        <f t="shared" si="294"/>
        <v>67188702</v>
      </c>
      <c r="BN128" s="66">
        <f t="shared" si="295"/>
        <v>0</v>
      </c>
      <c r="BO128" s="66">
        <f t="shared" si="296"/>
        <v>0</v>
      </c>
      <c r="BP128" s="66">
        <f t="shared" si="297"/>
        <v>0</v>
      </c>
      <c r="BQ128" s="66">
        <f t="shared" si="298"/>
        <v>0</v>
      </c>
      <c r="BR128" s="66">
        <f t="shared" si="299"/>
        <v>0</v>
      </c>
      <c r="BS128" s="66">
        <f t="shared" si="300"/>
        <v>1154184</v>
      </c>
      <c r="BT128" s="66">
        <f t="shared" si="301"/>
        <v>0</v>
      </c>
      <c r="BU128" s="66">
        <f t="shared" si="302"/>
        <v>0</v>
      </c>
      <c r="BV128" s="66">
        <f t="shared" si="303"/>
        <v>0</v>
      </c>
      <c r="BW128" s="66">
        <f t="shared" si="304"/>
        <v>0</v>
      </c>
      <c r="BX128" s="66">
        <f t="shared" si="305"/>
        <v>0</v>
      </c>
      <c r="BY128" s="66">
        <f t="shared" si="306"/>
        <v>0</v>
      </c>
      <c r="BZ128" s="66">
        <f t="shared" si="307"/>
        <v>0</v>
      </c>
      <c r="CA128" s="66"/>
      <c r="CB128" s="66">
        <f t="shared" si="308"/>
        <v>0</v>
      </c>
      <c r="CC128" s="22">
        <f t="shared" si="274"/>
        <v>0.66741546754966885</v>
      </c>
      <c r="CD128" s="66">
        <f t="shared" si="309"/>
        <v>251949339</v>
      </c>
      <c r="CE128" s="66"/>
      <c r="CF128" s="66"/>
      <c r="CG128" s="66"/>
      <c r="CH128" s="66"/>
      <c r="CI128" s="66"/>
      <c r="CJ128" s="66"/>
      <c r="CK128" s="66"/>
      <c r="CL128" s="66">
        <f>+'[1]OCTUBRE 2019'!$H$354+'[1]OCTUBRE 2019'!$H$356+'[1]OCTUBRE 2019'!$H$358+'[1]OCTUBRE 2019'!$H$361+'[1]OCTUBRE 2019'!$H$366+'[1]OCTUBRE 2019'!$H$369</f>
        <v>251669339</v>
      </c>
      <c r="CM128" s="66"/>
      <c r="CN128" s="66"/>
      <c r="CO128" s="66"/>
      <c r="CP128" s="66"/>
      <c r="CQ128" s="66"/>
      <c r="CR128" s="66"/>
      <c r="CS128" s="66"/>
      <c r="CT128" s="66"/>
      <c r="CU128" s="66"/>
      <c r="CV128" s="66"/>
      <c r="CW128" s="66"/>
      <c r="CX128" s="66"/>
      <c r="CY128" s="66"/>
      <c r="CZ128" s="66"/>
      <c r="DA128" s="66">
        <f>+'[6]MAYO 2019'!$H$126</f>
        <v>280000</v>
      </c>
      <c r="DB128" s="22">
        <f t="shared" si="214"/>
        <v>0.33258453245033115</v>
      </c>
      <c r="DC128" s="66">
        <f t="shared" si="310"/>
        <v>125550661</v>
      </c>
      <c r="DD128" s="66">
        <f t="shared" si="311"/>
        <v>0</v>
      </c>
      <c r="DE128" s="66">
        <f t="shared" si="312"/>
        <v>0</v>
      </c>
      <c r="DF128" s="66">
        <f t="shared" si="332"/>
        <v>0</v>
      </c>
      <c r="DG128" s="66">
        <f t="shared" si="313"/>
        <v>0</v>
      </c>
      <c r="DH128" s="66">
        <f t="shared" si="314"/>
        <v>0</v>
      </c>
      <c r="DI128" s="66">
        <f t="shared" si="315"/>
        <v>0</v>
      </c>
      <c r="DJ128" s="66">
        <f t="shared" si="316"/>
        <v>0</v>
      </c>
      <c r="DK128" s="66">
        <f t="shared" si="317"/>
        <v>91330661</v>
      </c>
      <c r="DL128" s="66">
        <f t="shared" si="318"/>
        <v>0</v>
      </c>
      <c r="DM128" s="66">
        <f t="shared" si="319"/>
        <v>0</v>
      </c>
      <c r="DN128" s="66">
        <f t="shared" si="320"/>
        <v>0</v>
      </c>
      <c r="DO128" s="66">
        <f t="shared" si="321"/>
        <v>0</v>
      </c>
      <c r="DP128" s="66">
        <f t="shared" si="322"/>
        <v>0</v>
      </c>
      <c r="DQ128" s="66">
        <f t="shared" si="323"/>
        <v>30000000</v>
      </c>
      <c r="DR128" s="66">
        <f t="shared" si="324"/>
        <v>0</v>
      </c>
      <c r="DS128" s="66">
        <f t="shared" si="325"/>
        <v>0</v>
      </c>
      <c r="DT128" s="66">
        <f t="shared" si="326"/>
        <v>0</v>
      </c>
      <c r="DU128" s="66">
        <f t="shared" si="327"/>
        <v>0</v>
      </c>
      <c r="DV128" s="66">
        <f t="shared" si="328"/>
        <v>0</v>
      </c>
      <c r="DW128" s="66">
        <f t="shared" si="329"/>
        <v>0</v>
      </c>
      <c r="DX128" s="66">
        <f t="shared" si="330"/>
        <v>0</v>
      </c>
      <c r="DY128" s="66"/>
      <c r="DZ128" s="66">
        <f t="shared" si="331"/>
        <v>4220000</v>
      </c>
      <c r="EB128" s="9">
        <f t="shared" si="215"/>
        <v>377500000</v>
      </c>
      <c r="EC128" s="9">
        <f t="shared" si="216"/>
        <v>377500000</v>
      </c>
      <c r="ED128" s="9">
        <f t="shared" si="217"/>
        <v>377500000</v>
      </c>
    </row>
    <row r="129" spans="1:136" ht="30.6" customHeight="1" x14ac:dyDescent="0.3">
      <c r="A129" s="207"/>
      <c r="B129" s="194"/>
      <c r="C129" s="70" t="s">
        <v>53</v>
      </c>
      <c r="D129" s="71" t="s">
        <v>52</v>
      </c>
      <c r="E129" s="68">
        <v>211</v>
      </c>
      <c r="F129" s="67" t="s">
        <v>21</v>
      </c>
      <c r="G129" s="66">
        <f t="shared" si="285"/>
        <v>638119041</v>
      </c>
      <c r="H129" s="35"/>
      <c r="I129" s="66">
        <v>258340125</v>
      </c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>
        <v>107000000</v>
      </c>
      <c r="Y129" s="66">
        <v>62600000</v>
      </c>
      <c r="Z129" s="66">
        <f>108178916+102000000</f>
        <v>210178916</v>
      </c>
      <c r="AA129" s="66"/>
      <c r="AB129" s="66"/>
      <c r="AC129" s="66"/>
      <c r="AD129" s="66"/>
      <c r="AE129" s="22">
        <f t="shared" si="275"/>
        <v>0.99589731722172514</v>
      </c>
      <c r="AF129" s="66">
        <f t="shared" si="286"/>
        <v>635501041</v>
      </c>
      <c r="AG129" s="66"/>
      <c r="AH129" s="66">
        <f>+'[9]ENERO 2019'!$K$70</f>
        <v>258340125</v>
      </c>
      <c r="AI129" s="66"/>
      <c r="AJ129" s="66"/>
      <c r="AK129" s="66"/>
      <c r="AL129" s="66"/>
      <c r="AM129" s="66"/>
      <c r="AN129" s="66"/>
      <c r="AO129" s="66"/>
      <c r="AP129" s="66"/>
      <c r="AQ129" s="66"/>
      <c r="AR129" s="66"/>
      <c r="AS129" s="66"/>
      <c r="AT129" s="66"/>
      <c r="AU129" s="66"/>
      <c r="AV129" s="66"/>
      <c r="AW129" s="66">
        <f>+'[4]JUNIO 2019'!$Y$163</f>
        <v>107000000</v>
      </c>
      <c r="AX129" s="66">
        <f>+'[2]SEPTIEMBRE 2019'!$AA$321</f>
        <v>59982000</v>
      </c>
      <c r="AY129" s="66">
        <f>+'[1]OCTUBRE 2019'!$AB$378</f>
        <v>210178916</v>
      </c>
      <c r="AZ129" s="66"/>
      <c r="BA129" s="66"/>
      <c r="BB129" s="66"/>
      <c r="BC129" s="66"/>
      <c r="BD129" s="22">
        <f t="shared" si="212"/>
        <v>4.1026827782748576E-3</v>
      </c>
      <c r="BE129" s="66">
        <f t="shared" si="287"/>
        <v>2618000</v>
      </c>
      <c r="BF129" s="66">
        <f t="shared" si="288"/>
        <v>0</v>
      </c>
      <c r="BG129" s="66">
        <f t="shared" si="289"/>
        <v>0</v>
      </c>
      <c r="BH129" s="66">
        <f t="shared" si="333"/>
        <v>0</v>
      </c>
      <c r="BI129" s="66">
        <f t="shared" si="290"/>
        <v>0</v>
      </c>
      <c r="BJ129" s="66">
        <f t="shared" si="291"/>
        <v>0</v>
      </c>
      <c r="BK129" s="66">
        <f t="shared" si="292"/>
        <v>0</v>
      </c>
      <c r="BL129" s="66">
        <f t="shared" si="293"/>
        <v>0</v>
      </c>
      <c r="BM129" s="66">
        <f t="shared" si="294"/>
        <v>0</v>
      </c>
      <c r="BN129" s="66">
        <f t="shared" si="295"/>
        <v>0</v>
      </c>
      <c r="BO129" s="66">
        <f t="shared" si="296"/>
        <v>0</v>
      </c>
      <c r="BP129" s="66">
        <f t="shared" si="297"/>
        <v>0</v>
      </c>
      <c r="BQ129" s="66">
        <f t="shared" si="298"/>
        <v>0</v>
      </c>
      <c r="BR129" s="66">
        <f t="shared" si="299"/>
        <v>0</v>
      </c>
      <c r="BS129" s="66">
        <f t="shared" si="300"/>
        <v>0</v>
      </c>
      <c r="BT129" s="66">
        <f t="shared" si="301"/>
        <v>0</v>
      </c>
      <c r="BU129" s="66">
        <f t="shared" si="302"/>
        <v>0</v>
      </c>
      <c r="BV129" s="66">
        <f t="shared" si="303"/>
        <v>0</v>
      </c>
      <c r="BW129" s="66">
        <f t="shared" si="304"/>
        <v>2618000</v>
      </c>
      <c r="BX129" s="66">
        <f t="shared" si="305"/>
        <v>0</v>
      </c>
      <c r="BY129" s="66">
        <f t="shared" si="306"/>
        <v>0</v>
      </c>
      <c r="BZ129" s="66">
        <f t="shared" si="307"/>
        <v>0</v>
      </c>
      <c r="CA129" s="66"/>
      <c r="CB129" s="66">
        <f t="shared" si="308"/>
        <v>0</v>
      </c>
      <c r="CC129" s="22">
        <f t="shared" si="274"/>
        <v>0.83088999846973688</v>
      </c>
      <c r="CD129" s="66">
        <f t="shared" si="309"/>
        <v>530206729</v>
      </c>
      <c r="CE129" s="66"/>
      <c r="CF129" s="66">
        <f>+'[1]OCTUBRE 2019'!$H$379</f>
        <v>258340123</v>
      </c>
      <c r="CG129" s="66"/>
      <c r="CH129" s="66"/>
      <c r="CI129" s="66"/>
      <c r="CJ129" s="66"/>
      <c r="CK129" s="66"/>
      <c r="CL129" s="66"/>
      <c r="CM129" s="66"/>
      <c r="CN129" s="66"/>
      <c r="CO129" s="66"/>
      <c r="CP129" s="66"/>
      <c r="CQ129" s="66"/>
      <c r="CR129" s="66"/>
      <c r="CS129" s="66"/>
      <c r="CT129" s="66"/>
      <c r="CU129" s="66">
        <f>+'[2]SEPTIEMBRE 2019'!$H$355+'[2]SEPTIEMBRE 2019'!$H$361+'[2]SEPTIEMBRE 2019'!$H$366+'[2]SEPTIEMBRE 2019'!$Z$370</f>
        <v>106782598</v>
      </c>
      <c r="CV129" s="66">
        <v>58374008</v>
      </c>
      <c r="CW129" s="66">
        <f>+'[2]SEPTIEMBRE 2019'!$H$392</f>
        <v>106710000</v>
      </c>
      <c r="CX129" s="66"/>
      <c r="CY129" s="66"/>
      <c r="CZ129" s="66"/>
      <c r="DA129" s="66"/>
      <c r="DB129" s="22">
        <f t="shared" si="214"/>
        <v>0.16911000153026312</v>
      </c>
      <c r="DC129" s="66">
        <f t="shared" si="310"/>
        <v>107912312</v>
      </c>
      <c r="DD129" s="66">
        <f t="shared" si="311"/>
        <v>0</v>
      </c>
      <c r="DE129" s="66">
        <f t="shared" si="312"/>
        <v>2</v>
      </c>
      <c r="DF129" s="66">
        <f t="shared" si="332"/>
        <v>0</v>
      </c>
      <c r="DG129" s="66">
        <f t="shared" si="313"/>
        <v>0</v>
      </c>
      <c r="DH129" s="66">
        <f t="shared" si="314"/>
        <v>0</v>
      </c>
      <c r="DI129" s="66">
        <f t="shared" si="315"/>
        <v>0</v>
      </c>
      <c r="DJ129" s="66">
        <f t="shared" si="316"/>
        <v>0</v>
      </c>
      <c r="DK129" s="66">
        <f t="shared" si="317"/>
        <v>0</v>
      </c>
      <c r="DL129" s="66">
        <f t="shared" si="318"/>
        <v>0</v>
      </c>
      <c r="DM129" s="66">
        <f t="shared" si="319"/>
        <v>0</v>
      </c>
      <c r="DN129" s="66">
        <f t="shared" si="320"/>
        <v>0</v>
      </c>
      <c r="DO129" s="66">
        <f t="shared" si="321"/>
        <v>0</v>
      </c>
      <c r="DP129" s="66">
        <f t="shared" si="322"/>
        <v>0</v>
      </c>
      <c r="DQ129" s="66">
        <f t="shared" si="323"/>
        <v>0</v>
      </c>
      <c r="DR129" s="66">
        <f t="shared" si="324"/>
        <v>0</v>
      </c>
      <c r="DS129" s="66">
        <f t="shared" si="325"/>
        <v>0</v>
      </c>
      <c r="DT129" s="66">
        <f t="shared" si="326"/>
        <v>217402</v>
      </c>
      <c r="DU129" s="66">
        <f t="shared" si="327"/>
        <v>4225992</v>
      </c>
      <c r="DV129" s="66">
        <f t="shared" si="328"/>
        <v>103468916</v>
      </c>
      <c r="DW129" s="66">
        <f t="shared" si="329"/>
        <v>0</v>
      </c>
      <c r="DX129" s="66">
        <f t="shared" si="330"/>
        <v>0</v>
      </c>
      <c r="DY129" s="66"/>
      <c r="DZ129" s="66">
        <f t="shared" si="331"/>
        <v>0</v>
      </c>
      <c r="EB129" s="9">
        <f t="shared" si="215"/>
        <v>638119041</v>
      </c>
      <c r="EC129" s="9">
        <f t="shared" si="216"/>
        <v>638119041</v>
      </c>
      <c r="ED129" s="9">
        <f t="shared" si="217"/>
        <v>638119041</v>
      </c>
    </row>
    <row r="130" spans="1:136" ht="57.6" customHeight="1" x14ac:dyDescent="0.3">
      <c r="A130" s="207"/>
      <c r="B130" s="195"/>
      <c r="C130" s="70" t="s">
        <v>51</v>
      </c>
      <c r="D130" s="71" t="s">
        <v>50</v>
      </c>
      <c r="E130" s="68">
        <v>211</v>
      </c>
      <c r="F130" s="67" t="s">
        <v>21</v>
      </c>
      <c r="G130" s="66">
        <f t="shared" si="285"/>
        <v>5000000</v>
      </c>
      <c r="H130" s="35"/>
      <c r="I130" s="66">
        <v>5000000</v>
      </c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  <c r="AA130" s="66"/>
      <c r="AB130" s="66"/>
      <c r="AC130" s="66"/>
      <c r="AD130" s="66"/>
      <c r="AE130" s="22">
        <f t="shared" si="275"/>
        <v>0</v>
      </c>
      <c r="AF130" s="66">
        <f t="shared" si="286"/>
        <v>0</v>
      </c>
      <c r="AG130" s="66"/>
      <c r="AH130" s="66"/>
      <c r="AI130" s="66"/>
      <c r="AJ130" s="66"/>
      <c r="AK130" s="66"/>
      <c r="AL130" s="66"/>
      <c r="AM130" s="66"/>
      <c r="AN130" s="66"/>
      <c r="AO130" s="66"/>
      <c r="AP130" s="66"/>
      <c r="AQ130" s="66"/>
      <c r="AR130" s="66"/>
      <c r="AS130" s="66"/>
      <c r="AT130" s="66"/>
      <c r="AU130" s="66"/>
      <c r="AV130" s="66"/>
      <c r="AW130" s="66"/>
      <c r="AX130" s="66"/>
      <c r="AY130" s="66"/>
      <c r="AZ130" s="66"/>
      <c r="BA130" s="66"/>
      <c r="BB130" s="66"/>
      <c r="BC130" s="66"/>
      <c r="BD130" s="22">
        <f t="shared" si="212"/>
        <v>1</v>
      </c>
      <c r="BE130" s="66">
        <f t="shared" si="287"/>
        <v>5000000</v>
      </c>
      <c r="BF130" s="66">
        <f t="shared" si="288"/>
        <v>0</v>
      </c>
      <c r="BG130" s="66">
        <f t="shared" si="289"/>
        <v>5000000</v>
      </c>
      <c r="BH130" s="66">
        <f t="shared" si="333"/>
        <v>0</v>
      </c>
      <c r="BI130" s="66">
        <f t="shared" si="290"/>
        <v>0</v>
      </c>
      <c r="BJ130" s="66">
        <f t="shared" si="291"/>
        <v>0</v>
      </c>
      <c r="BK130" s="66">
        <f t="shared" si="292"/>
        <v>0</v>
      </c>
      <c r="BL130" s="66">
        <f t="shared" si="293"/>
        <v>0</v>
      </c>
      <c r="BM130" s="66">
        <f t="shared" si="294"/>
        <v>0</v>
      </c>
      <c r="BN130" s="66">
        <f t="shared" si="295"/>
        <v>0</v>
      </c>
      <c r="BO130" s="66">
        <f t="shared" si="296"/>
        <v>0</v>
      </c>
      <c r="BP130" s="66">
        <f t="shared" si="297"/>
        <v>0</v>
      </c>
      <c r="BQ130" s="66">
        <f t="shared" si="298"/>
        <v>0</v>
      </c>
      <c r="BR130" s="66">
        <f t="shared" si="299"/>
        <v>0</v>
      </c>
      <c r="BS130" s="66">
        <f t="shared" si="300"/>
        <v>0</v>
      </c>
      <c r="BT130" s="66">
        <f t="shared" si="301"/>
        <v>0</v>
      </c>
      <c r="BU130" s="66">
        <f t="shared" si="302"/>
        <v>0</v>
      </c>
      <c r="BV130" s="66">
        <f t="shared" si="303"/>
        <v>0</v>
      </c>
      <c r="BW130" s="66">
        <f t="shared" si="304"/>
        <v>0</v>
      </c>
      <c r="BX130" s="66">
        <f t="shared" si="305"/>
        <v>0</v>
      </c>
      <c r="BY130" s="66">
        <f t="shared" si="306"/>
        <v>0</v>
      </c>
      <c r="BZ130" s="66">
        <f t="shared" si="307"/>
        <v>0</v>
      </c>
      <c r="CA130" s="66"/>
      <c r="CB130" s="66">
        <f t="shared" si="308"/>
        <v>0</v>
      </c>
      <c r="CC130" s="22">
        <f t="shared" si="274"/>
        <v>0</v>
      </c>
      <c r="CD130" s="66">
        <f t="shared" si="309"/>
        <v>0</v>
      </c>
      <c r="CE130" s="66"/>
      <c r="CF130" s="66"/>
      <c r="CG130" s="66"/>
      <c r="CH130" s="66"/>
      <c r="CI130" s="66"/>
      <c r="CJ130" s="66"/>
      <c r="CK130" s="66"/>
      <c r="CL130" s="66"/>
      <c r="CM130" s="66"/>
      <c r="CN130" s="66"/>
      <c r="CO130" s="66"/>
      <c r="CP130" s="66"/>
      <c r="CQ130" s="66"/>
      <c r="CR130" s="66"/>
      <c r="CS130" s="66"/>
      <c r="CT130" s="66"/>
      <c r="CU130" s="66"/>
      <c r="CV130" s="66"/>
      <c r="CW130" s="66"/>
      <c r="CX130" s="66"/>
      <c r="CY130" s="66"/>
      <c r="CZ130" s="66"/>
      <c r="DA130" s="66"/>
      <c r="DB130" s="22">
        <f t="shared" si="214"/>
        <v>1</v>
      </c>
      <c r="DC130" s="66">
        <f t="shared" si="310"/>
        <v>5000000</v>
      </c>
      <c r="DD130" s="66">
        <f t="shared" si="311"/>
        <v>0</v>
      </c>
      <c r="DE130" s="66">
        <f t="shared" si="312"/>
        <v>5000000</v>
      </c>
      <c r="DF130" s="66">
        <f t="shared" si="332"/>
        <v>0</v>
      </c>
      <c r="DG130" s="66">
        <f t="shared" si="313"/>
        <v>0</v>
      </c>
      <c r="DH130" s="66">
        <f t="shared" si="314"/>
        <v>0</v>
      </c>
      <c r="DI130" s="66">
        <f t="shared" si="315"/>
        <v>0</v>
      </c>
      <c r="DJ130" s="66">
        <f t="shared" si="316"/>
        <v>0</v>
      </c>
      <c r="DK130" s="66">
        <f t="shared" si="317"/>
        <v>0</v>
      </c>
      <c r="DL130" s="66">
        <f t="shared" si="318"/>
        <v>0</v>
      </c>
      <c r="DM130" s="66">
        <f t="shared" si="319"/>
        <v>0</v>
      </c>
      <c r="DN130" s="66">
        <f t="shared" si="320"/>
        <v>0</v>
      </c>
      <c r="DO130" s="66">
        <f t="shared" si="321"/>
        <v>0</v>
      </c>
      <c r="DP130" s="66">
        <f t="shared" si="322"/>
        <v>0</v>
      </c>
      <c r="DQ130" s="66">
        <f t="shared" si="323"/>
        <v>0</v>
      </c>
      <c r="DR130" s="66">
        <f t="shared" si="324"/>
        <v>0</v>
      </c>
      <c r="DS130" s="66">
        <f t="shared" si="325"/>
        <v>0</v>
      </c>
      <c r="DT130" s="66">
        <f t="shared" si="326"/>
        <v>0</v>
      </c>
      <c r="DU130" s="66">
        <f t="shared" si="327"/>
        <v>0</v>
      </c>
      <c r="DV130" s="66">
        <f t="shared" si="328"/>
        <v>0</v>
      </c>
      <c r="DW130" s="66">
        <f t="shared" si="329"/>
        <v>0</v>
      </c>
      <c r="DX130" s="66">
        <f t="shared" si="330"/>
        <v>0</v>
      </c>
      <c r="DY130" s="66"/>
      <c r="DZ130" s="66">
        <f t="shared" si="331"/>
        <v>0</v>
      </c>
      <c r="EB130" s="9">
        <f t="shared" si="215"/>
        <v>5000000</v>
      </c>
      <c r="EC130" s="9">
        <f t="shared" si="216"/>
        <v>5000000</v>
      </c>
      <c r="ED130" s="9">
        <f t="shared" si="217"/>
        <v>5000000</v>
      </c>
    </row>
    <row r="131" spans="1:136" ht="19.2" customHeight="1" x14ac:dyDescent="0.3">
      <c r="A131" s="73"/>
      <c r="B131" s="72"/>
      <c r="C131" s="70" t="s">
        <v>49</v>
      </c>
      <c r="D131" s="71" t="s">
        <v>48</v>
      </c>
      <c r="E131" s="68">
        <v>211</v>
      </c>
      <c r="F131" s="67" t="s">
        <v>21</v>
      </c>
      <c r="G131" s="66">
        <f t="shared" si="285"/>
        <v>560000000</v>
      </c>
      <c r="H131" s="35"/>
      <c r="I131" s="66"/>
      <c r="J131" s="66"/>
      <c r="K131" s="66">
        <v>560000000</v>
      </c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  <c r="AA131" s="66"/>
      <c r="AB131" s="66"/>
      <c r="AC131" s="66"/>
      <c r="AD131" s="66"/>
      <c r="AE131" s="22">
        <f t="shared" si="275"/>
        <v>1</v>
      </c>
      <c r="AF131" s="66">
        <f t="shared" si="286"/>
        <v>560000000</v>
      </c>
      <c r="AG131" s="66"/>
      <c r="AH131" s="66"/>
      <c r="AI131" s="66"/>
      <c r="AJ131" s="66">
        <f>+'[1]OCTUBRE 2019'!$L$484</f>
        <v>560000000</v>
      </c>
      <c r="AK131" s="66"/>
      <c r="AL131" s="66"/>
      <c r="AM131" s="66"/>
      <c r="AN131" s="66"/>
      <c r="AO131" s="66"/>
      <c r="AP131" s="66"/>
      <c r="AQ131" s="66"/>
      <c r="AR131" s="66"/>
      <c r="AS131" s="66"/>
      <c r="AT131" s="66"/>
      <c r="AU131" s="66"/>
      <c r="AV131" s="66"/>
      <c r="AW131" s="66"/>
      <c r="AX131" s="66"/>
      <c r="AY131" s="66"/>
      <c r="AZ131" s="66"/>
      <c r="BA131" s="66"/>
      <c r="BB131" s="66"/>
      <c r="BC131" s="66"/>
      <c r="BD131" s="22">
        <f t="shared" si="212"/>
        <v>0</v>
      </c>
      <c r="BE131" s="66">
        <f t="shared" si="287"/>
        <v>0</v>
      </c>
      <c r="BF131" s="66"/>
      <c r="BG131" s="66"/>
      <c r="BH131" s="66"/>
      <c r="BI131" s="66">
        <f t="shared" si="290"/>
        <v>0</v>
      </c>
      <c r="BJ131" s="66"/>
      <c r="BK131" s="66"/>
      <c r="BL131" s="66"/>
      <c r="BM131" s="66"/>
      <c r="BN131" s="66"/>
      <c r="BO131" s="66"/>
      <c r="BP131" s="66"/>
      <c r="BQ131" s="66"/>
      <c r="BR131" s="66"/>
      <c r="BS131" s="66"/>
      <c r="BT131" s="66"/>
      <c r="BU131" s="66"/>
      <c r="BV131" s="66"/>
      <c r="BW131" s="66"/>
      <c r="BX131" s="66"/>
      <c r="BY131" s="66"/>
      <c r="BZ131" s="66"/>
      <c r="CA131" s="66"/>
      <c r="CB131" s="66"/>
      <c r="CC131" s="22">
        <f t="shared" si="274"/>
        <v>0</v>
      </c>
      <c r="CD131" s="66">
        <f t="shared" si="309"/>
        <v>0</v>
      </c>
      <c r="CE131" s="66"/>
      <c r="CF131" s="66"/>
      <c r="CG131" s="66"/>
      <c r="CH131" s="66"/>
      <c r="CI131" s="66"/>
      <c r="CJ131" s="66"/>
      <c r="CK131" s="66"/>
      <c r="CL131" s="66"/>
      <c r="CM131" s="66"/>
      <c r="CN131" s="66"/>
      <c r="CO131" s="66"/>
      <c r="CP131" s="66"/>
      <c r="CQ131" s="66"/>
      <c r="CR131" s="66"/>
      <c r="CS131" s="66"/>
      <c r="CT131" s="66"/>
      <c r="CU131" s="66"/>
      <c r="CV131" s="66"/>
      <c r="CW131" s="66"/>
      <c r="CX131" s="66"/>
      <c r="CY131" s="66"/>
      <c r="CZ131" s="66"/>
      <c r="DA131" s="66"/>
      <c r="DB131" s="22">
        <f t="shared" si="214"/>
        <v>1</v>
      </c>
      <c r="DC131" s="66">
        <f t="shared" si="310"/>
        <v>560000000</v>
      </c>
      <c r="DD131" s="66"/>
      <c r="DE131" s="66"/>
      <c r="DF131" s="66"/>
      <c r="DG131" s="66">
        <f t="shared" ref="DG131:DG141" si="334">K131-CH131</f>
        <v>560000000</v>
      </c>
      <c r="DH131" s="66"/>
      <c r="DI131" s="66"/>
      <c r="DJ131" s="66"/>
      <c r="DK131" s="66"/>
      <c r="DL131" s="66"/>
      <c r="DM131" s="66"/>
      <c r="DN131" s="66"/>
      <c r="DO131" s="66"/>
      <c r="DP131" s="66"/>
      <c r="DQ131" s="66"/>
      <c r="DR131" s="66"/>
      <c r="DS131" s="66"/>
      <c r="DT131" s="66"/>
      <c r="DU131" s="66"/>
      <c r="DV131" s="66"/>
      <c r="DW131" s="66"/>
      <c r="DX131" s="66"/>
      <c r="DY131" s="66"/>
      <c r="DZ131" s="66"/>
      <c r="EB131" s="9">
        <f t="shared" si="215"/>
        <v>560000000</v>
      </c>
      <c r="EC131" s="9">
        <f t="shared" si="216"/>
        <v>560000000</v>
      </c>
      <c r="ED131" s="9">
        <f t="shared" si="217"/>
        <v>560000000</v>
      </c>
    </row>
    <row r="132" spans="1:136" ht="23.4" customHeight="1" x14ac:dyDescent="0.3">
      <c r="A132" s="73"/>
      <c r="B132" s="72"/>
      <c r="C132" s="70" t="s">
        <v>47</v>
      </c>
      <c r="D132" s="71" t="s">
        <v>46</v>
      </c>
      <c r="E132" s="68">
        <v>211</v>
      </c>
      <c r="F132" s="67" t="s">
        <v>21</v>
      </c>
      <c r="G132" s="66">
        <f t="shared" si="285"/>
        <v>656000000</v>
      </c>
      <c r="H132" s="35"/>
      <c r="I132" s="66"/>
      <c r="J132" s="66"/>
      <c r="K132" s="66">
        <v>656000000</v>
      </c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22">
        <f t="shared" si="275"/>
        <v>1</v>
      </c>
      <c r="AF132" s="66">
        <f t="shared" si="286"/>
        <v>656000000</v>
      </c>
      <c r="AG132" s="66"/>
      <c r="AH132" s="66"/>
      <c r="AI132" s="66"/>
      <c r="AJ132" s="66">
        <f>+'[1]OCTUBRE 2019'!$L$491</f>
        <v>656000000</v>
      </c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  <c r="AU132" s="66"/>
      <c r="AV132" s="66"/>
      <c r="AW132" s="66"/>
      <c r="AX132" s="66"/>
      <c r="AY132" s="66"/>
      <c r="AZ132" s="66"/>
      <c r="BA132" s="66"/>
      <c r="BB132" s="66"/>
      <c r="BC132" s="66"/>
      <c r="BD132" s="22">
        <f t="shared" ref="BD132:BD142" si="335">1-AE132</f>
        <v>0</v>
      </c>
      <c r="BE132" s="66">
        <f t="shared" si="287"/>
        <v>0</v>
      </c>
      <c r="BF132" s="66"/>
      <c r="BG132" s="66"/>
      <c r="BH132" s="66"/>
      <c r="BI132" s="66">
        <f t="shared" si="290"/>
        <v>0</v>
      </c>
      <c r="BJ132" s="66"/>
      <c r="BK132" s="66"/>
      <c r="BL132" s="66"/>
      <c r="BM132" s="66"/>
      <c r="BN132" s="66"/>
      <c r="BO132" s="66"/>
      <c r="BP132" s="66"/>
      <c r="BQ132" s="66"/>
      <c r="BR132" s="66"/>
      <c r="BS132" s="66"/>
      <c r="BT132" s="66"/>
      <c r="BU132" s="66"/>
      <c r="BV132" s="66"/>
      <c r="BW132" s="66"/>
      <c r="BX132" s="66"/>
      <c r="BY132" s="66"/>
      <c r="BZ132" s="66"/>
      <c r="CA132" s="66"/>
      <c r="CB132" s="66"/>
      <c r="CC132" s="22">
        <f t="shared" si="274"/>
        <v>0</v>
      </c>
      <c r="CD132" s="66">
        <f t="shared" si="309"/>
        <v>0</v>
      </c>
      <c r="CE132" s="66"/>
      <c r="CF132" s="66"/>
      <c r="CG132" s="66"/>
      <c r="CH132" s="66"/>
      <c r="CI132" s="66"/>
      <c r="CJ132" s="66"/>
      <c r="CK132" s="66"/>
      <c r="CL132" s="66"/>
      <c r="CM132" s="66"/>
      <c r="CN132" s="66"/>
      <c r="CO132" s="66"/>
      <c r="CP132" s="66"/>
      <c r="CQ132" s="66"/>
      <c r="CR132" s="66"/>
      <c r="CS132" s="66"/>
      <c r="CT132" s="66"/>
      <c r="CU132" s="66"/>
      <c r="CV132" s="66"/>
      <c r="CW132" s="66"/>
      <c r="CX132" s="66"/>
      <c r="CY132" s="66"/>
      <c r="CZ132" s="66"/>
      <c r="DA132" s="66"/>
      <c r="DB132" s="22">
        <f t="shared" ref="DB132:DB142" si="336">1-CC132</f>
        <v>1</v>
      </c>
      <c r="DC132" s="66">
        <f t="shared" si="310"/>
        <v>656000000</v>
      </c>
      <c r="DD132" s="66"/>
      <c r="DE132" s="66"/>
      <c r="DF132" s="66"/>
      <c r="DG132" s="66">
        <f t="shared" si="334"/>
        <v>656000000</v>
      </c>
      <c r="DH132" s="66"/>
      <c r="DI132" s="66"/>
      <c r="DJ132" s="66"/>
      <c r="DK132" s="66"/>
      <c r="DL132" s="66"/>
      <c r="DM132" s="66"/>
      <c r="DN132" s="66"/>
      <c r="DO132" s="66"/>
      <c r="DP132" s="66"/>
      <c r="DQ132" s="66"/>
      <c r="DR132" s="66"/>
      <c r="DS132" s="66"/>
      <c r="DT132" s="66"/>
      <c r="DU132" s="66"/>
      <c r="DV132" s="66"/>
      <c r="DW132" s="66"/>
      <c r="DX132" s="66"/>
      <c r="DY132" s="66"/>
      <c r="DZ132" s="66"/>
      <c r="EB132" s="9">
        <f t="shared" ref="EB132:EB142" si="337">+G132</f>
        <v>656000000</v>
      </c>
      <c r="EC132" s="9">
        <f t="shared" ref="EC132:EC142" si="338">+AF132+BE132</f>
        <v>656000000</v>
      </c>
      <c r="ED132" s="9">
        <f t="shared" ref="ED132:ED142" si="339">+CD132+DC132</f>
        <v>656000000</v>
      </c>
    </row>
    <row r="133" spans="1:136" ht="27.6" customHeight="1" x14ac:dyDescent="0.3">
      <c r="A133" s="207" t="s">
        <v>45</v>
      </c>
      <c r="B133" s="209" t="s">
        <v>44</v>
      </c>
      <c r="C133" s="70" t="s">
        <v>43</v>
      </c>
      <c r="D133" s="71" t="s">
        <v>42</v>
      </c>
      <c r="E133" s="68">
        <v>510</v>
      </c>
      <c r="F133" s="67" t="s">
        <v>35</v>
      </c>
      <c r="G133" s="66">
        <f t="shared" si="285"/>
        <v>130000000</v>
      </c>
      <c r="H133" s="66"/>
      <c r="I133" s="66">
        <v>120000000</v>
      </c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>
        <v>10000000</v>
      </c>
      <c r="Z133" s="66"/>
      <c r="AA133" s="66"/>
      <c r="AB133" s="66"/>
      <c r="AC133" s="66"/>
      <c r="AD133" s="66"/>
      <c r="AE133" s="22">
        <f t="shared" si="275"/>
        <v>1</v>
      </c>
      <c r="AF133" s="66">
        <f t="shared" si="286"/>
        <v>130000000</v>
      </c>
      <c r="AG133" s="66"/>
      <c r="AH133" s="66">
        <f>+'[1]OCTUBRE 2019'!$K$4018</f>
        <v>120000000</v>
      </c>
      <c r="AI133" s="66"/>
      <c r="AJ133" s="66"/>
      <c r="AK133" s="66"/>
      <c r="AL133" s="66"/>
      <c r="AM133" s="66"/>
      <c r="AN133" s="66"/>
      <c r="AO133" s="66"/>
      <c r="AP133" s="66"/>
      <c r="AQ133" s="66"/>
      <c r="AR133" s="66"/>
      <c r="AS133" s="66"/>
      <c r="AT133" s="66"/>
      <c r="AU133" s="66"/>
      <c r="AV133" s="66"/>
      <c r="AW133" s="66"/>
      <c r="AX133" s="66">
        <f>+'[3]JULIO 2019'!$Z$2727</f>
        <v>10000000</v>
      </c>
      <c r="AY133" s="66"/>
      <c r="AZ133" s="66"/>
      <c r="BA133" s="66"/>
      <c r="BB133" s="66"/>
      <c r="BC133" s="66"/>
      <c r="BD133" s="22">
        <f t="shared" si="335"/>
        <v>0</v>
      </c>
      <c r="BE133" s="66">
        <f t="shared" si="287"/>
        <v>0</v>
      </c>
      <c r="BF133" s="66">
        <f t="shared" ref="BF133:BF141" si="340">H133-AG133</f>
        <v>0</v>
      </c>
      <c r="BG133" s="66">
        <f t="shared" ref="BG133:BG141" si="341">I133-AH133</f>
        <v>0</v>
      </c>
      <c r="BH133" s="66">
        <f t="shared" ref="BH133:BH141" si="342">J133-AI133</f>
        <v>0</v>
      </c>
      <c r="BI133" s="66">
        <f t="shared" si="290"/>
        <v>0</v>
      </c>
      <c r="BJ133" s="66">
        <f t="shared" ref="BJ133:BJ141" si="343">L133-AK133</f>
        <v>0</v>
      </c>
      <c r="BK133" s="66">
        <f t="shared" ref="BK133:BK141" si="344">M133-AL133</f>
        <v>0</v>
      </c>
      <c r="BL133" s="66">
        <f t="shared" ref="BL133:BL141" si="345">N133-AM133</f>
        <v>0</v>
      </c>
      <c r="BM133" s="66">
        <f t="shared" ref="BM133:BM141" si="346">O133-AN133</f>
        <v>0</v>
      </c>
      <c r="BN133" s="66">
        <f t="shared" ref="BN133:BN141" si="347">P133-AO133</f>
        <v>0</v>
      </c>
      <c r="BO133" s="66">
        <f t="shared" ref="BO133:BO141" si="348">Q133-AP133</f>
        <v>0</v>
      </c>
      <c r="BP133" s="66">
        <f t="shared" ref="BP133:BP141" si="349">R133-AQ133</f>
        <v>0</v>
      </c>
      <c r="BQ133" s="66">
        <f t="shared" ref="BQ133:BQ141" si="350">S133-AR133</f>
        <v>0</v>
      </c>
      <c r="BR133" s="66">
        <f t="shared" ref="BR133:BR141" si="351">T133-AS133</f>
        <v>0</v>
      </c>
      <c r="BS133" s="66">
        <f t="shared" ref="BS133:BS141" si="352">U133-AT133</f>
        <v>0</v>
      </c>
      <c r="BT133" s="66">
        <f t="shared" ref="BT133:BT141" si="353">V133-AU133</f>
        <v>0</v>
      </c>
      <c r="BU133" s="66">
        <f t="shared" ref="BU133:BU141" si="354">W133-AV133</f>
        <v>0</v>
      </c>
      <c r="BV133" s="66">
        <f t="shared" ref="BV133:BV141" si="355">X133-AW133</f>
        <v>0</v>
      </c>
      <c r="BW133" s="66">
        <f t="shared" ref="BW133:BW141" si="356">Y133-AX133</f>
        <v>0</v>
      </c>
      <c r="BX133" s="66">
        <f t="shared" ref="BX133:BX141" si="357">Z133-AY133</f>
        <v>0</v>
      </c>
      <c r="BY133" s="66">
        <f t="shared" ref="BY133:BY141" si="358">AA133-AZ133</f>
        <v>0</v>
      </c>
      <c r="BZ133" s="66">
        <f t="shared" ref="BZ133:BZ141" si="359">AB133-BA133</f>
        <v>0</v>
      </c>
      <c r="CA133" s="66"/>
      <c r="CB133" s="66">
        <f t="shared" ref="CB133:CB140" si="360">AD133-BC133</f>
        <v>0</v>
      </c>
      <c r="CC133" s="22">
        <f t="shared" si="274"/>
        <v>0.99979486923076921</v>
      </c>
      <c r="CD133" s="66">
        <f t="shared" si="309"/>
        <v>129973333</v>
      </c>
      <c r="CE133" s="66"/>
      <c r="CF133" s="66">
        <f>+'[2]SEPTIEMBRE 2019'!$H$3589-'[2]SEPTIEMBRE 2019'!$H$3609+'[1]OCTUBRE 2019'!$H$4037</f>
        <v>120000000</v>
      </c>
      <c r="CG133" s="66"/>
      <c r="CH133" s="66"/>
      <c r="CI133" s="66"/>
      <c r="CJ133" s="66"/>
      <c r="CK133" s="66"/>
      <c r="CL133" s="66"/>
      <c r="CM133" s="66"/>
      <c r="CN133" s="66"/>
      <c r="CO133" s="66"/>
      <c r="CP133" s="66"/>
      <c r="CQ133" s="66"/>
      <c r="CR133" s="66"/>
      <c r="CS133" s="66"/>
      <c r="CT133" s="66"/>
      <c r="CU133" s="66"/>
      <c r="CV133" s="66">
        <f>+'[3]JULIO 2019'!$H$2745</f>
        <v>9973333</v>
      </c>
      <c r="CW133" s="66"/>
      <c r="CX133" s="66"/>
      <c r="CY133" s="66"/>
      <c r="CZ133" s="66"/>
      <c r="DA133" s="66"/>
      <c r="DB133" s="22">
        <f t="shared" si="336"/>
        <v>2.0513076923078799E-4</v>
      </c>
      <c r="DC133" s="66">
        <f t="shared" si="310"/>
        <v>26667</v>
      </c>
      <c r="DD133" s="66">
        <f t="shared" ref="DD133:DD141" si="361">H133-CE133</f>
        <v>0</v>
      </c>
      <c r="DE133" s="66">
        <f t="shared" ref="DE133:DE141" si="362">I133-CF133</f>
        <v>0</v>
      </c>
      <c r="DF133" s="66">
        <f t="shared" ref="DF133:DF141" si="363">J133-CG133</f>
        <v>0</v>
      </c>
      <c r="DG133" s="66">
        <f t="shared" si="334"/>
        <v>0</v>
      </c>
      <c r="DH133" s="66">
        <f t="shared" ref="DH133:DH141" si="364">L133-CI133</f>
        <v>0</v>
      </c>
      <c r="DI133" s="66">
        <f t="shared" ref="DI133:DI141" si="365">M133-CJ133</f>
        <v>0</v>
      </c>
      <c r="DJ133" s="66">
        <f t="shared" ref="DJ133:DJ141" si="366">N133-CK133</f>
        <v>0</v>
      </c>
      <c r="DK133" s="66">
        <f t="shared" ref="DK133:DK141" si="367">O133-CL133</f>
        <v>0</v>
      </c>
      <c r="DL133" s="66">
        <f t="shared" ref="DL133:DL141" si="368">P133-CM133</f>
        <v>0</v>
      </c>
      <c r="DM133" s="66">
        <f t="shared" ref="DM133:DM141" si="369">Q133-CN133</f>
        <v>0</v>
      </c>
      <c r="DN133" s="66">
        <f t="shared" ref="DN133:DN141" si="370">R133-CO133</f>
        <v>0</v>
      </c>
      <c r="DO133" s="66">
        <f t="shared" ref="DO133:DO141" si="371">S133-CP133</f>
        <v>0</v>
      </c>
      <c r="DP133" s="66">
        <f t="shared" ref="DP133:DP141" si="372">T133-CQ133</f>
        <v>0</v>
      </c>
      <c r="DQ133" s="66">
        <f t="shared" ref="DQ133:DQ141" si="373">U133-CR133</f>
        <v>0</v>
      </c>
      <c r="DR133" s="66">
        <f t="shared" ref="DR133:DR141" si="374">V133-CS133</f>
        <v>0</v>
      </c>
      <c r="DS133" s="66">
        <f t="shared" ref="DS133:DS141" si="375">W133-CT133</f>
        <v>0</v>
      </c>
      <c r="DT133" s="66">
        <f t="shared" ref="DT133:DT141" si="376">X133-CU133</f>
        <v>0</v>
      </c>
      <c r="DU133" s="66">
        <f t="shared" ref="DU133:DU141" si="377">Y133-CV133</f>
        <v>26667</v>
      </c>
      <c r="DV133" s="66">
        <f t="shared" ref="DV133:DV141" si="378">Z133-CW133</f>
        <v>0</v>
      </c>
      <c r="DW133" s="66">
        <f t="shared" ref="DW133:DW141" si="379">AA133-CX133</f>
        <v>0</v>
      </c>
      <c r="DX133" s="66">
        <f t="shared" ref="DX133:DX141" si="380">AB133-CY133</f>
        <v>0</v>
      </c>
      <c r="DY133" s="66"/>
      <c r="DZ133" s="66">
        <f t="shared" ref="DZ133:DZ140" si="381">AD133-DA133</f>
        <v>0</v>
      </c>
      <c r="EB133" s="9">
        <f t="shared" si="337"/>
        <v>130000000</v>
      </c>
      <c r="EC133" s="9">
        <f t="shared" si="338"/>
        <v>130000000</v>
      </c>
      <c r="ED133" s="9">
        <f t="shared" si="339"/>
        <v>130000000</v>
      </c>
    </row>
    <row r="134" spans="1:136" ht="31.2" customHeight="1" x14ac:dyDescent="0.3">
      <c r="A134" s="207"/>
      <c r="B134" s="210"/>
      <c r="C134" s="71" t="s">
        <v>41</v>
      </c>
      <c r="D134" s="68" t="s">
        <v>40</v>
      </c>
      <c r="E134" s="67">
        <v>510</v>
      </c>
      <c r="F134" s="66" t="s">
        <v>35</v>
      </c>
      <c r="G134" s="66">
        <f t="shared" si="285"/>
        <v>128270473</v>
      </c>
      <c r="H134" s="66"/>
      <c r="I134" s="66">
        <v>118270473</v>
      </c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>
        <v>10000000</v>
      </c>
      <c r="Z134" s="66"/>
      <c r="AA134" s="66"/>
      <c r="AB134" s="66"/>
      <c r="AC134" s="66"/>
      <c r="AD134" s="66"/>
      <c r="AE134" s="22">
        <f t="shared" si="275"/>
        <v>1</v>
      </c>
      <c r="AF134" s="66">
        <f t="shared" si="286"/>
        <v>128270473</v>
      </c>
      <c r="AG134" s="66"/>
      <c r="AH134" s="66">
        <f>+'[1]OCTUBRE 2019'!$K$4042</f>
        <v>118270473</v>
      </c>
      <c r="AI134" s="66"/>
      <c r="AJ134" s="66"/>
      <c r="AK134" s="66"/>
      <c r="AL134" s="66"/>
      <c r="AM134" s="66"/>
      <c r="AN134" s="66"/>
      <c r="AO134" s="66"/>
      <c r="AP134" s="66"/>
      <c r="AQ134" s="66"/>
      <c r="AR134" s="66"/>
      <c r="AS134" s="66"/>
      <c r="AT134" s="66"/>
      <c r="AU134" s="66"/>
      <c r="AV134" s="66"/>
      <c r="AW134" s="66"/>
      <c r="AX134" s="66">
        <f>+'[1]OCTUBRE 2019'!$AA$4042</f>
        <v>10000000</v>
      </c>
      <c r="AY134" s="66"/>
      <c r="AZ134" s="66"/>
      <c r="BA134" s="66"/>
      <c r="BB134" s="66"/>
      <c r="BC134" s="66"/>
      <c r="BD134" s="22">
        <f t="shared" si="335"/>
        <v>0</v>
      </c>
      <c r="BE134" s="66">
        <f t="shared" si="287"/>
        <v>0</v>
      </c>
      <c r="BF134" s="66">
        <f t="shared" si="340"/>
        <v>0</v>
      </c>
      <c r="BG134" s="66">
        <f t="shared" si="341"/>
        <v>0</v>
      </c>
      <c r="BH134" s="66">
        <f t="shared" si="342"/>
        <v>0</v>
      </c>
      <c r="BI134" s="66">
        <f t="shared" si="290"/>
        <v>0</v>
      </c>
      <c r="BJ134" s="66">
        <f t="shared" si="343"/>
        <v>0</v>
      </c>
      <c r="BK134" s="66">
        <f t="shared" si="344"/>
        <v>0</v>
      </c>
      <c r="BL134" s="66">
        <f t="shared" si="345"/>
        <v>0</v>
      </c>
      <c r="BM134" s="66">
        <f t="shared" si="346"/>
        <v>0</v>
      </c>
      <c r="BN134" s="66">
        <f t="shared" si="347"/>
        <v>0</v>
      </c>
      <c r="BO134" s="66">
        <f t="shared" si="348"/>
        <v>0</v>
      </c>
      <c r="BP134" s="66">
        <f t="shared" si="349"/>
        <v>0</v>
      </c>
      <c r="BQ134" s="66">
        <f t="shared" si="350"/>
        <v>0</v>
      </c>
      <c r="BR134" s="66">
        <f t="shared" si="351"/>
        <v>0</v>
      </c>
      <c r="BS134" s="66">
        <f t="shared" si="352"/>
        <v>0</v>
      </c>
      <c r="BT134" s="66">
        <f t="shared" si="353"/>
        <v>0</v>
      </c>
      <c r="BU134" s="66">
        <f t="shared" si="354"/>
        <v>0</v>
      </c>
      <c r="BV134" s="66">
        <f t="shared" si="355"/>
        <v>0</v>
      </c>
      <c r="BW134" s="66">
        <f t="shared" si="356"/>
        <v>0</v>
      </c>
      <c r="BX134" s="66">
        <f t="shared" si="357"/>
        <v>0</v>
      </c>
      <c r="BY134" s="66">
        <f t="shared" si="358"/>
        <v>0</v>
      </c>
      <c r="BZ134" s="66">
        <f t="shared" si="359"/>
        <v>0</v>
      </c>
      <c r="CA134" s="66"/>
      <c r="CB134" s="66">
        <f t="shared" si="360"/>
        <v>0</v>
      </c>
      <c r="CC134" s="22">
        <f t="shared" si="274"/>
        <v>0.99999999220397351</v>
      </c>
      <c r="CD134" s="66">
        <f t="shared" si="309"/>
        <v>128270472</v>
      </c>
      <c r="CE134" s="66"/>
      <c r="CF134" s="66">
        <f>+'[1]OCTUBRE 2019'!$H$4043+'[1]OCTUBRE 2019'!$H$4060</f>
        <v>118270472</v>
      </c>
      <c r="CG134" s="66"/>
      <c r="CH134" s="66"/>
      <c r="CI134" s="66"/>
      <c r="CJ134" s="66"/>
      <c r="CK134" s="66"/>
      <c r="CL134" s="66"/>
      <c r="CM134" s="66"/>
      <c r="CN134" s="66"/>
      <c r="CO134" s="66"/>
      <c r="CP134" s="66"/>
      <c r="CQ134" s="66"/>
      <c r="CR134" s="66"/>
      <c r="CS134" s="66"/>
      <c r="CT134" s="66"/>
      <c r="CU134" s="66"/>
      <c r="CV134" s="66">
        <f>+'[3]JULIO 2019'!$Z$2753+'[1]OCTUBRE 2019'!$H$4063</f>
        <v>10000000</v>
      </c>
      <c r="CW134" s="66"/>
      <c r="CX134" s="66"/>
      <c r="CY134" s="66"/>
      <c r="CZ134" s="66"/>
      <c r="DA134" s="66"/>
      <c r="DB134" s="22">
        <f t="shared" si="336"/>
        <v>7.7960264910359456E-9</v>
      </c>
      <c r="DC134" s="66">
        <f t="shared" si="310"/>
        <v>1</v>
      </c>
      <c r="DD134" s="66">
        <f t="shared" si="361"/>
        <v>0</v>
      </c>
      <c r="DE134" s="66">
        <f t="shared" si="362"/>
        <v>1</v>
      </c>
      <c r="DF134" s="66">
        <f t="shared" si="363"/>
        <v>0</v>
      </c>
      <c r="DG134" s="66">
        <f t="shared" si="334"/>
        <v>0</v>
      </c>
      <c r="DH134" s="66">
        <f t="shared" si="364"/>
        <v>0</v>
      </c>
      <c r="DI134" s="66">
        <f t="shared" si="365"/>
        <v>0</v>
      </c>
      <c r="DJ134" s="66">
        <f t="shared" si="366"/>
        <v>0</v>
      </c>
      <c r="DK134" s="66">
        <f t="shared" si="367"/>
        <v>0</v>
      </c>
      <c r="DL134" s="66">
        <f t="shared" si="368"/>
        <v>0</v>
      </c>
      <c r="DM134" s="66">
        <f t="shared" si="369"/>
        <v>0</v>
      </c>
      <c r="DN134" s="66">
        <f t="shared" si="370"/>
        <v>0</v>
      </c>
      <c r="DO134" s="66">
        <f t="shared" si="371"/>
        <v>0</v>
      </c>
      <c r="DP134" s="66">
        <f t="shared" si="372"/>
        <v>0</v>
      </c>
      <c r="DQ134" s="66">
        <f t="shared" si="373"/>
        <v>0</v>
      </c>
      <c r="DR134" s="66">
        <f t="shared" si="374"/>
        <v>0</v>
      </c>
      <c r="DS134" s="66">
        <f t="shared" si="375"/>
        <v>0</v>
      </c>
      <c r="DT134" s="66">
        <f t="shared" si="376"/>
        <v>0</v>
      </c>
      <c r="DU134" s="66">
        <f t="shared" si="377"/>
        <v>0</v>
      </c>
      <c r="DV134" s="66">
        <f t="shared" si="378"/>
        <v>0</v>
      </c>
      <c r="DW134" s="66">
        <f t="shared" si="379"/>
        <v>0</v>
      </c>
      <c r="DX134" s="66">
        <f t="shared" si="380"/>
        <v>0</v>
      </c>
      <c r="DY134" s="66"/>
      <c r="DZ134" s="66">
        <f t="shared" si="381"/>
        <v>0</v>
      </c>
      <c r="EB134" s="9">
        <f t="shared" si="337"/>
        <v>128270473</v>
      </c>
      <c r="EC134" s="9">
        <f t="shared" si="338"/>
        <v>128270473</v>
      </c>
      <c r="ED134" s="9">
        <f t="shared" si="339"/>
        <v>128270473</v>
      </c>
    </row>
    <row r="135" spans="1:136" ht="27.6" customHeight="1" x14ac:dyDescent="0.3">
      <c r="A135" s="207"/>
      <c r="B135" s="210"/>
      <c r="C135" s="70" t="s">
        <v>39</v>
      </c>
      <c r="D135" s="71" t="s">
        <v>38</v>
      </c>
      <c r="E135" s="68">
        <v>510</v>
      </c>
      <c r="F135" s="67" t="s">
        <v>35</v>
      </c>
      <c r="G135" s="66">
        <f t="shared" si="285"/>
        <v>160000000</v>
      </c>
      <c r="H135" s="66"/>
      <c r="I135" s="66">
        <v>150000000</v>
      </c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>
        <v>10000000</v>
      </c>
      <c r="Z135" s="66"/>
      <c r="AA135" s="66"/>
      <c r="AB135" s="66"/>
      <c r="AC135" s="66"/>
      <c r="AD135" s="66"/>
      <c r="AE135" s="22">
        <f t="shared" si="275"/>
        <v>0.93757141249999998</v>
      </c>
      <c r="AF135" s="66">
        <f t="shared" si="286"/>
        <v>150011426</v>
      </c>
      <c r="AG135" s="66"/>
      <c r="AH135" s="66">
        <f>+'[1]OCTUBRE 2019'!$K$4070</f>
        <v>149212900</v>
      </c>
      <c r="AI135" s="66"/>
      <c r="AJ135" s="66"/>
      <c r="AK135" s="66"/>
      <c r="AL135" s="66"/>
      <c r="AM135" s="66"/>
      <c r="AN135" s="66"/>
      <c r="AO135" s="66"/>
      <c r="AP135" s="66"/>
      <c r="AQ135" s="66"/>
      <c r="AR135" s="66"/>
      <c r="AS135" s="66"/>
      <c r="AT135" s="66"/>
      <c r="AU135" s="66"/>
      <c r="AV135" s="66"/>
      <c r="AW135" s="66"/>
      <c r="AX135" s="66">
        <f>+'[1]OCTUBRE 2019'!$AA$4070</f>
        <v>798526</v>
      </c>
      <c r="AY135" s="66"/>
      <c r="AZ135" s="66"/>
      <c r="BA135" s="66"/>
      <c r="BB135" s="66"/>
      <c r="BC135" s="66"/>
      <c r="BD135" s="22">
        <f t="shared" si="335"/>
        <v>6.2428587500000021E-2</v>
      </c>
      <c r="BE135" s="66">
        <f t="shared" si="287"/>
        <v>9988574</v>
      </c>
      <c r="BF135" s="66">
        <f t="shared" si="340"/>
        <v>0</v>
      </c>
      <c r="BG135" s="66">
        <f t="shared" si="341"/>
        <v>787100</v>
      </c>
      <c r="BH135" s="66">
        <f t="shared" si="342"/>
        <v>0</v>
      </c>
      <c r="BI135" s="66">
        <f t="shared" si="290"/>
        <v>0</v>
      </c>
      <c r="BJ135" s="66">
        <f t="shared" si="343"/>
        <v>0</v>
      </c>
      <c r="BK135" s="66">
        <f t="shared" si="344"/>
        <v>0</v>
      </c>
      <c r="BL135" s="66">
        <f t="shared" si="345"/>
        <v>0</v>
      </c>
      <c r="BM135" s="66">
        <f t="shared" si="346"/>
        <v>0</v>
      </c>
      <c r="BN135" s="66">
        <f t="shared" si="347"/>
        <v>0</v>
      </c>
      <c r="BO135" s="66">
        <f t="shared" si="348"/>
        <v>0</v>
      </c>
      <c r="BP135" s="66">
        <f t="shared" si="349"/>
        <v>0</v>
      </c>
      <c r="BQ135" s="66">
        <f t="shared" si="350"/>
        <v>0</v>
      </c>
      <c r="BR135" s="66">
        <f t="shared" si="351"/>
        <v>0</v>
      </c>
      <c r="BS135" s="66">
        <f t="shared" si="352"/>
        <v>0</v>
      </c>
      <c r="BT135" s="66">
        <f t="shared" si="353"/>
        <v>0</v>
      </c>
      <c r="BU135" s="66">
        <f t="shared" si="354"/>
        <v>0</v>
      </c>
      <c r="BV135" s="66">
        <f t="shared" si="355"/>
        <v>0</v>
      </c>
      <c r="BW135" s="66">
        <f t="shared" si="356"/>
        <v>9201474</v>
      </c>
      <c r="BX135" s="66">
        <f t="shared" si="357"/>
        <v>0</v>
      </c>
      <c r="BY135" s="66">
        <f t="shared" si="358"/>
        <v>0</v>
      </c>
      <c r="BZ135" s="66">
        <f t="shared" si="359"/>
        <v>0</v>
      </c>
      <c r="CA135" s="66"/>
      <c r="CB135" s="66">
        <f t="shared" si="360"/>
        <v>0</v>
      </c>
      <c r="CC135" s="22">
        <f t="shared" si="274"/>
        <v>0.93757141249999998</v>
      </c>
      <c r="CD135" s="66">
        <f t="shared" si="309"/>
        <v>150011426</v>
      </c>
      <c r="CE135" s="66"/>
      <c r="CF135" s="66">
        <f>+'[1]OCTUBRE 2019'!$H$4071</f>
        <v>149212900</v>
      </c>
      <c r="CG135" s="66"/>
      <c r="CH135" s="66"/>
      <c r="CI135" s="66"/>
      <c r="CJ135" s="66"/>
      <c r="CK135" s="66"/>
      <c r="CL135" s="66"/>
      <c r="CM135" s="66"/>
      <c r="CN135" s="66"/>
      <c r="CO135" s="66"/>
      <c r="CP135" s="66"/>
      <c r="CQ135" s="66"/>
      <c r="CR135" s="66"/>
      <c r="CS135" s="66"/>
      <c r="CT135" s="66"/>
      <c r="CU135" s="66"/>
      <c r="CV135" s="66">
        <f>+'[1]OCTUBRE 2019'!$H$4084</f>
        <v>798526</v>
      </c>
      <c r="CW135" s="66"/>
      <c r="CX135" s="66"/>
      <c r="CY135" s="66"/>
      <c r="CZ135" s="66"/>
      <c r="DA135" s="66"/>
      <c r="DB135" s="22">
        <f t="shared" si="336"/>
        <v>6.2428587500000021E-2</v>
      </c>
      <c r="DC135" s="66">
        <f t="shared" si="310"/>
        <v>9988574</v>
      </c>
      <c r="DD135" s="66">
        <f t="shared" si="361"/>
        <v>0</v>
      </c>
      <c r="DE135" s="66">
        <f t="shared" si="362"/>
        <v>787100</v>
      </c>
      <c r="DF135" s="66">
        <f t="shared" si="363"/>
        <v>0</v>
      </c>
      <c r="DG135" s="66">
        <f t="shared" si="334"/>
        <v>0</v>
      </c>
      <c r="DH135" s="66">
        <f t="shared" si="364"/>
        <v>0</v>
      </c>
      <c r="DI135" s="66">
        <f t="shared" si="365"/>
        <v>0</v>
      </c>
      <c r="DJ135" s="66">
        <f t="shared" si="366"/>
        <v>0</v>
      </c>
      <c r="DK135" s="66">
        <f t="shared" si="367"/>
        <v>0</v>
      </c>
      <c r="DL135" s="66">
        <f t="shared" si="368"/>
        <v>0</v>
      </c>
      <c r="DM135" s="66">
        <f t="shared" si="369"/>
        <v>0</v>
      </c>
      <c r="DN135" s="66">
        <f t="shared" si="370"/>
        <v>0</v>
      </c>
      <c r="DO135" s="66">
        <f t="shared" si="371"/>
        <v>0</v>
      </c>
      <c r="DP135" s="66">
        <f t="shared" si="372"/>
        <v>0</v>
      </c>
      <c r="DQ135" s="66">
        <f t="shared" si="373"/>
        <v>0</v>
      </c>
      <c r="DR135" s="66">
        <f t="shared" si="374"/>
        <v>0</v>
      </c>
      <c r="DS135" s="66">
        <f t="shared" si="375"/>
        <v>0</v>
      </c>
      <c r="DT135" s="66">
        <f t="shared" si="376"/>
        <v>0</v>
      </c>
      <c r="DU135" s="66">
        <f t="shared" si="377"/>
        <v>9201474</v>
      </c>
      <c r="DV135" s="66">
        <f t="shared" si="378"/>
        <v>0</v>
      </c>
      <c r="DW135" s="66">
        <f t="shared" si="379"/>
        <v>0</v>
      </c>
      <c r="DX135" s="66">
        <f t="shared" si="380"/>
        <v>0</v>
      </c>
      <c r="DY135" s="66"/>
      <c r="DZ135" s="66">
        <f t="shared" si="381"/>
        <v>0</v>
      </c>
      <c r="EB135" s="9">
        <f t="shared" si="337"/>
        <v>160000000</v>
      </c>
      <c r="EC135" s="9">
        <f t="shared" si="338"/>
        <v>160000000</v>
      </c>
      <c r="ED135" s="9">
        <f t="shared" si="339"/>
        <v>160000000</v>
      </c>
    </row>
    <row r="136" spans="1:136" ht="18.600000000000001" customHeight="1" x14ac:dyDescent="0.3">
      <c r="A136" s="207"/>
      <c r="B136" s="210"/>
      <c r="C136" s="70" t="s">
        <v>37</v>
      </c>
      <c r="D136" s="71" t="s">
        <v>36</v>
      </c>
      <c r="E136" s="68">
        <v>510</v>
      </c>
      <c r="F136" s="67" t="s">
        <v>35</v>
      </c>
      <c r="G136" s="66">
        <f t="shared" si="285"/>
        <v>14000000</v>
      </c>
      <c r="H136" s="66"/>
      <c r="I136" s="66">
        <v>7000000</v>
      </c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>
        <v>7000000</v>
      </c>
      <c r="Z136" s="66"/>
      <c r="AA136" s="66"/>
      <c r="AB136" s="66"/>
      <c r="AC136" s="66"/>
      <c r="AD136" s="66"/>
      <c r="AE136" s="22">
        <f t="shared" si="275"/>
        <v>0.5</v>
      </c>
      <c r="AF136" s="66">
        <f t="shared" si="286"/>
        <v>7000000</v>
      </c>
      <c r="AG136" s="66"/>
      <c r="AH136" s="66"/>
      <c r="AI136" s="66"/>
      <c r="AJ136" s="66"/>
      <c r="AK136" s="66"/>
      <c r="AL136" s="66"/>
      <c r="AM136" s="66"/>
      <c r="AN136" s="66"/>
      <c r="AO136" s="66"/>
      <c r="AP136" s="66"/>
      <c r="AQ136" s="66"/>
      <c r="AR136" s="66"/>
      <c r="AS136" s="66"/>
      <c r="AT136" s="66"/>
      <c r="AU136" s="66"/>
      <c r="AV136" s="66"/>
      <c r="AW136" s="66"/>
      <c r="AX136" s="66">
        <f>+'[1]OCTUBRE 2019'!$AA$4090</f>
        <v>7000000</v>
      </c>
      <c r="AY136" s="66"/>
      <c r="AZ136" s="66"/>
      <c r="BA136" s="66"/>
      <c r="BB136" s="66"/>
      <c r="BC136" s="66"/>
      <c r="BD136" s="22">
        <f t="shared" si="335"/>
        <v>0.5</v>
      </c>
      <c r="BE136" s="66">
        <f t="shared" si="287"/>
        <v>7000000</v>
      </c>
      <c r="BF136" s="66">
        <f t="shared" si="340"/>
        <v>0</v>
      </c>
      <c r="BG136" s="66">
        <f t="shared" si="341"/>
        <v>7000000</v>
      </c>
      <c r="BH136" s="66">
        <f t="shared" si="342"/>
        <v>0</v>
      </c>
      <c r="BI136" s="66">
        <f t="shared" si="290"/>
        <v>0</v>
      </c>
      <c r="BJ136" s="66">
        <f t="shared" si="343"/>
        <v>0</v>
      </c>
      <c r="BK136" s="66">
        <f t="shared" si="344"/>
        <v>0</v>
      </c>
      <c r="BL136" s="66">
        <f t="shared" si="345"/>
        <v>0</v>
      </c>
      <c r="BM136" s="66">
        <f t="shared" si="346"/>
        <v>0</v>
      </c>
      <c r="BN136" s="66">
        <f t="shared" si="347"/>
        <v>0</v>
      </c>
      <c r="BO136" s="66">
        <f t="shared" si="348"/>
        <v>0</v>
      </c>
      <c r="BP136" s="66">
        <f t="shared" si="349"/>
        <v>0</v>
      </c>
      <c r="BQ136" s="66">
        <f t="shared" si="350"/>
        <v>0</v>
      </c>
      <c r="BR136" s="66">
        <f t="shared" si="351"/>
        <v>0</v>
      </c>
      <c r="BS136" s="66">
        <f t="shared" si="352"/>
        <v>0</v>
      </c>
      <c r="BT136" s="66">
        <f t="shared" si="353"/>
        <v>0</v>
      </c>
      <c r="BU136" s="66">
        <f t="shared" si="354"/>
        <v>0</v>
      </c>
      <c r="BV136" s="66">
        <f t="shared" si="355"/>
        <v>0</v>
      </c>
      <c r="BW136" s="66">
        <f t="shared" si="356"/>
        <v>0</v>
      </c>
      <c r="BX136" s="66">
        <f t="shared" si="357"/>
        <v>0</v>
      </c>
      <c r="BY136" s="66">
        <f t="shared" si="358"/>
        <v>0</v>
      </c>
      <c r="BZ136" s="66">
        <f t="shared" si="359"/>
        <v>0</v>
      </c>
      <c r="CA136" s="66"/>
      <c r="CB136" s="66">
        <f t="shared" si="360"/>
        <v>0</v>
      </c>
      <c r="CC136" s="22">
        <f t="shared" si="274"/>
        <v>0.38950000000000001</v>
      </c>
      <c r="CD136" s="66">
        <f t="shared" si="309"/>
        <v>5453000</v>
      </c>
      <c r="CE136" s="66"/>
      <c r="CF136" s="66"/>
      <c r="CG136" s="66"/>
      <c r="CH136" s="66"/>
      <c r="CI136" s="66"/>
      <c r="CJ136" s="66"/>
      <c r="CK136" s="66"/>
      <c r="CL136" s="66"/>
      <c r="CM136" s="66"/>
      <c r="CN136" s="66"/>
      <c r="CO136" s="66"/>
      <c r="CP136" s="66"/>
      <c r="CQ136" s="66"/>
      <c r="CR136" s="66"/>
      <c r="CS136" s="66"/>
      <c r="CT136" s="66"/>
      <c r="CU136" s="66"/>
      <c r="CV136" s="66">
        <f>+'[1]OCTUBRE 2019'!$H$4088</f>
        <v>5453000</v>
      </c>
      <c r="CW136" s="66"/>
      <c r="CX136" s="66"/>
      <c r="CY136" s="66"/>
      <c r="CZ136" s="66"/>
      <c r="DA136" s="66"/>
      <c r="DB136" s="22">
        <f t="shared" si="336"/>
        <v>0.61050000000000004</v>
      </c>
      <c r="DC136" s="66">
        <f t="shared" si="310"/>
        <v>8547000</v>
      </c>
      <c r="DD136" s="66">
        <f t="shared" si="361"/>
        <v>0</v>
      </c>
      <c r="DE136" s="66">
        <f t="shared" si="362"/>
        <v>7000000</v>
      </c>
      <c r="DF136" s="66">
        <f t="shared" si="363"/>
        <v>0</v>
      </c>
      <c r="DG136" s="66">
        <f t="shared" si="334"/>
        <v>0</v>
      </c>
      <c r="DH136" s="66">
        <f t="shared" si="364"/>
        <v>0</v>
      </c>
      <c r="DI136" s="66">
        <f t="shared" si="365"/>
        <v>0</v>
      </c>
      <c r="DJ136" s="66">
        <f t="shared" si="366"/>
        <v>0</v>
      </c>
      <c r="DK136" s="66">
        <f t="shared" si="367"/>
        <v>0</v>
      </c>
      <c r="DL136" s="66">
        <f t="shared" si="368"/>
        <v>0</v>
      </c>
      <c r="DM136" s="66">
        <f t="shared" si="369"/>
        <v>0</v>
      </c>
      <c r="DN136" s="66">
        <f t="shared" si="370"/>
        <v>0</v>
      </c>
      <c r="DO136" s="66">
        <f t="shared" si="371"/>
        <v>0</v>
      </c>
      <c r="DP136" s="66">
        <f t="shared" si="372"/>
        <v>0</v>
      </c>
      <c r="DQ136" s="66">
        <f t="shared" si="373"/>
        <v>0</v>
      </c>
      <c r="DR136" s="66">
        <f t="shared" si="374"/>
        <v>0</v>
      </c>
      <c r="DS136" s="66">
        <f t="shared" si="375"/>
        <v>0</v>
      </c>
      <c r="DT136" s="66">
        <f t="shared" si="376"/>
        <v>0</v>
      </c>
      <c r="DU136" s="66">
        <f t="shared" si="377"/>
        <v>1547000</v>
      </c>
      <c r="DV136" s="66">
        <f t="shared" si="378"/>
        <v>0</v>
      </c>
      <c r="DW136" s="66">
        <f t="shared" si="379"/>
        <v>0</v>
      </c>
      <c r="DX136" s="66">
        <f t="shared" si="380"/>
        <v>0</v>
      </c>
      <c r="DY136" s="66"/>
      <c r="DZ136" s="66">
        <f t="shared" si="381"/>
        <v>0</v>
      </c>
      <c r="EB136" s="9">
        <f t="shared" si="337"/>
        <v>14000000</v>
      </c>
      <c r="EC136" s="9">
        <f t="shared" si="338"/>
        <v>14000000</v>
      </c>
      <c r="ED136" s="9">
        <f t="shared" si="339"/>
        <v>14000000</v>
      </c>
    </row>
    <row r="137" spans="1:136" ht="72.599999999999994" customHeight="1" x14ac:dyDescent="0.3">
      <c r="A137" s="207"/>
      <c r="B137" s="210"/>
      <c r="C137" s="70" t="s">
        <v>34</v>
      </c>
      <c r="D137" s="69" t="s">
        <v>33</v>
      </c>
      <c r="E137" s="68">
        <v>510</v>
      </c>
      <c r="F137" s="67" t="s">
        <v>30</v>
      </c>
      <c r="G137" s="66">
        <f t="shared" si="285"/>
        <v>0</v>
      </c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  <c r="AA137" s="66"/>
      <c r="AB137" s="66"/>
      <c r="AC137" s="66"/>
      <c r="AD137" s="66"/>
      <c r="AE137" s="22" t="e">
        <f t="shared" si="275"/>
        <v>#DIV/0!</v>
      </c>
      <c r="AF137" s="66">
        <f t="shared" si="286"/>
        <v>0</v>
      </c>
      <c r="AG137" s="66"/>
      <c r="AH137" s="66"/>
      <c r="AI137" s="66"/>
      <c r="AJ137" s="66"/>
      <c r="AK137" s="66"/>
      <c r="AL137" s="66"/>
      <c r="AM137" s="66"/>
      <c r="AN137" s="66"/>
      <c r="AO137" s="66"/>
      <c r="AP137" s="66"/>
      <c r="AQ137" s="66"/>
      <c r="AR137" s="66"/>
      <c r="AS137" s="66"/>
      <c r="AT137" s="66"/>
      <c r="AU137" s="66"/>
      <c r="AV137" s="66"/>
      <c r="AW137" s="66"/>
      <c r="AX137" s="66"/>
      <c r="AY137" s="66"/>
      <c r="AZ137" s="66"/>
      <c r="BA137" s="66"/>
      <c r="BB137" s="66"/>
      <c r="BC137" s="66"/>
      <c r="BD137" s="22" t="e">
        <f t="shared" si="335"/>
        <v>#DIV/0!</v>
      </c>
      <c r="BE137" s="66">
        <f t="shared" si="287"/>
        <v>0</v>
      </c>
      <c r="BF137" s="66">
        <f t="shared" si="340"/>
        <v>0</v>
      </c>
      <c r="BG137" s="66">
        <f t="shared" si="341"/>
        <v>0</v>
      </c>
      <c r="BH137" s="66">
        <f t="shared" si="342"/>
        <v>0</v>
      </c>
      <c r="BI137" s="66">
        <f t="shared" si="290"/>
        <v>0</v>
      </c>
      <c r="BJ137" s="66">
        <f t="shared" si="343"/>
        <v>0</v>
      </c>
      <c r="BK137" s="66">
        <f t="shared" si="344"/>
        <v>0</v>
      </c>
      <c r="BL137" s="66">
        <f t="shared" si="345"/>
        <v>0</v>
      </c>
      <c r="BM137" s="66">
        <f t="shared" si="346"/>
        <v>0</v>
      </c>
      <c r="BN137" s="66">
        <f t="shared" si="347"/>
        <v>0</v>
      </c>
      <c r="BO137" s="66">
        <f t="shared" si="348"/>
        <v>0</v>
      </c>
      <c r="BP137" s="66">
        <f t="shared" si="349"/>
        <v>0</v>
      </c>
      <c r="BQ137" s="66">
        <f t="shared" si="350"/>
        <v>0</v>
      </c>
      <c r="BR137" s="66">
        <f t="shared" si="351"/>
        <v>0</v>
      </c>
      <c r="BS137" s="66">
        <f t="shared" si="352"/>
        <v>0</v>
      </c>
      <c r="BT137" s="66">
        <f t="shared" si="353"/>
        <v>0</v>
      </c>
      <c r="BU137" s="66">
        <f t="shared" si="354"/>
        <v>0</v>
      </c>
      <c r="BV137" s="66">
        <f t="shared" si="355"/>
        <v>0</v>
      </c>
      <c r="BW137" s="66">
        <f t="shared" si="356"/>
        <v>0</v>
      </c>
      <c r="BX137" s="66">
        <f t="shared" si="357"/>
        <v>0</v>
      </c>
      <c r="BY137" s="66">
        <f t="shared" si="358"/>
        <v>0</v>
      </c>
      <c r="BZ137" s="66">
        <f t="shared" si="359"/>
        <v>0</v>
      </c>
      <c r="CA137" s="66"/>
      <c r="CB137" s="66">
        <f t="shared" si="360"/>
        <v>0</v>
      </c>
      <c r="CC137" s="22" t="e">
        <f t="shared" si="274"/>
        <v>#DIV/0!</v>
      </c>
      <c r="CD137" s="66">
        <f t="shared" si="309"/>
        <v>0</v>
      </c>
      <c r="CE137" s="66"/>
      <c r="CF137" s="66"/>
      <c r="CG137" s="66"/>
      <c r="CH137" s="66"/>
      <c r="CI137" s="66"/>
      <c r="CJ137" s="66"/>
      <c r="CK137" s="66"/>
      <c r="CL137" s="66"/>
      <c r="CM137" s="66"/>
      <c r="CN137" s="66"/>
      <c r="CO137" s="66"/>
      <c r="CP137" s="66"/>
      <c r="CQ137" s="66"/>
      <c r="CR137" s="66"/>
      <c r="CS137" s="66"/>
      <c r="CT137" s="66"/>
      <c r="CU137" s="66"/>
      <c r="CV137" s="66"/>
      <c r="CW137" s="66"/>
      <c r="CX137" s="66"/>
      <c r="CY137" s="66"/>
      <c r="CZ137" s="66"/>
      <c r="DA137" s="66"/>
      <c r="DB137" s="22" t="e">
        <f t="shared" si="336"/>
        <v>#DIV/0!</v>
      </c>
      <c r="DC137" s="66">
        <f t="shared" si="310"/>
        <v>0</v>
      </c>
      <c r="DD137" s="66">
        <f t="shared" si="361"/>
        <v>0</v>
      </c>
      <c r="DE137" s="66">
        <f t="shared" si="362"/>
        <v>0</v>
      </c>
      <c r="DF137" s="66">
        <f t="shared" si="363"/>
        <v>0</v>
      </c>
      <c r="DG137" s="66">
        <f t="shared" si="334"/>
        <v>0</v>
      </c>
      <c r="DH137" s="66">
        <f t="shared" si="364"/>
        <v>0</v>
      </c>
      <c r="DI137" s="66">
        <f t="shared" si="365"/>
        <v>0</v>
      </c>
      <c r="DJ137" s="66">
        <f t="shared" si="366"/>
        <v>0</v>
      </c>
      <c r="DK137" s="66">
        <f t="shared" si="367"/>
        <v>0</v>
      </c>
      <c r="DL137" s="66">
        <f t="shared" si="368"/>
        <v>0</v>
      </c>
      <c r="DM137" s="66">
        <f t="shared" si="369"/>
        <v>0</v>
      </c>
      <c r="DN137" s="66">
        <f t="shared" si="370"/>
        <v>0</v>
      </c>
      <c r="DO137" s="66">
        <f t="shared" si="371"/>
        <v>0</v>
      </c>
      <c r="DP137" s="66">
        <f t="shared" si="372"/>
        <v>0</v>
      </c>
      <c r="DQ137" s="66">
        <f t="shared" si="373"/>
        <v>0</v>
      </c>
      <c r="DR137" s="66">
        <f t="shared" si="374"/>
        <v>0</v>
      </c>
      <c r="DS137" s="66">
        <f t="shared" si="375"/>
        <v>0</v>
      </c>
      <c r="DT137" s="66">
        <f t="shared" si="376"/>
        <v>0</v>
      </c>
      <c r="DU137" s="66">
        <f t="shared" si="377"/>
        <v>0</v>
      </c>
      <c r="DV137" s="66">
        <f t="shared" si="378"/>
        <v>0</v>
      </c>
      <c r="DW137" s="66">
        <f t="shared" si="379"/>
        <v>0</v>
      </c>
      <c r="DX137" s="66">
        <f t="shared" si="380"/>
        <v>0</v>
      </c>
      <c r="DY137" s="66"/>
      <c r="DZ137" s="66">
        <f t="shared" si="381"/>
        <v>0</v>
      </c>
      <c r="EB137" s="9">
        <f t="shared" si="337"/>
        <v>0</v>
      </c>
      <c r="EC137" s="9">
        <f t="shared" si="338"/>
        <v>0</v>
      </c>
      <c r="ED137" s="9">
        <f t="shared" si="339"/>
        <v>0</v>
      </c>
    </row>
    <row r="138" spans="1:136" ht="84" customHeight="1" x14ac:dyDescent="0.3">
      <c r="A138" s="207"/>
      <c r="B138" s="210"/>
      <c r="C138" s="70" t="s">
        <v>32</v>
      </c>
      <c r="D138" s="69" t="s">
        <v>31</v>
      </c>
      <c r="E138" s="68">
        <v>510</v>
      </c>
      <c r="F138" s="67" t="s">
        <v>30</v>
      </c>
      <c r="G138" s="66">
        <f t="shared" si="285"/>
        <v>4000000</v>
      </c>
      <c r="H138" s="66"/>
      <c r="I138" s="66">
        <v>4000000</v>
      </c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  <c r="AA138" s="66"/>
      <c r="AB138" s="66"/>
      <c r="AC138" s="66"/>
      <c r="AD138" s="66"/>
      <c r="AE138" s="22">
        <f t="shared" si="275"/>
        <v>0</v>
      </c>
      <c r="AF138" s="66">
        <f t="shared" si="286"/>
        <v>0</v>
      </c>
      <c r="AG138" s="66"/>
      <c r="AH138" s="66"/>
      <c r="AI138" s="66"/>
      <c r="AJ138" s="66"/>
      <c r="AK138" s="66"/>
      <c r="AL138" s="66"/>
      <c r="AM138" s="66"/>
      <c r="AN138" s="66"/>
      <c r="AO138" s="66"/>
      <c r="AP138" s="66"/>
      <c r="AQ138" s="66"/>
      <c r="AR138" s="66"/>
      <c r="AS138" s="66"/>
      <c r="AT138" s="66"/>
      <c r="AU138" s="66"/>
      <c r="AV138" s="66"/>
      <c r="AW138" s="66"/>
      <c r="AX138" s="66"/>
      <c r="AY138" s="66"/>
      <c r="AZ138" s="66"/>
      <c r="BA138" s="66"/>
      <c r="BB138" s="66"/>
      <c r="BC138" s="66"/>
      <c r="BD138" s="22">
        <f t="shared" si="335"/>
        <v>1</v>
      </c>
      <c r="BE138" s="66">
        <f t="shared" si="287"/>
        <v>4000000</v>
      </c>
      <c r="BF138" s="66">
        <f t="shared" si="340"/>
        <v>0</v>
      </c>
      <c r="BG138" s="66">
        <f t="shared" si="341"/>
        <v>4000000</v>
      </c>
      <c r="BH138" s="66">
        <f t="shared" si="342"/>
        <v>0</v>
      </c>
      <c r="BI138" s="66">
        <f t="shared" si="290"/>
        <v>0</v>
      </c>
      <c r="BJ138" s="66">
        <f t="shared" si="343"/>
        <v>0</v>
      </c>
      <c r="BK138" s="66">
        <f t="shared" si="344"/>
        <v>0</v>
      </c>
      <c r="BL138" s="66">
        <f t="shared" si="345"/>
        <v>0</v>
      </c>
      <c r="BM138" s="66">
        <f t="shared" si="346"/>
        <v>0</v>
      </c>
      <c r="BN138" s="66">
        <f t="shared" si="347"/>
        <v>0</v>
      </c>
      <c r="BO138" s="66">
        <f t="shared" si="348"/>
        <v>0</v>
      </c>
      <c r="BP138" s="66">
        <f t="shared" si="349"/>
        <v>0</v>
      </c>
      <c r="BQ138" s="66">
        <f t="shared" si="350"/>
        <v>0</v>
      </c>
      <c r="BR138" s="66">
        <f t="shared" si="351"/>
        <v>0</v>
      </c>
      <c r="BS138" s="66">
        <f t="shared" si="352"/>
        <v>0</v>
      </c>
      <c r="BT138" s="66">
        <f t="shared" si="353"/>
        <v>0</v>
      </c>
      <c r="BU138" s="66">
        <f t="shared" si="354"/>
        <v>0</v>
      </c>
      <c r="BV138" s="66">
        <f t="shared" si="355"/>
        <v>0</v>
      </c>
      <c r="BW138" s="66">
        <f t="shared" si="356"/>
        <v>0</v>
      </c>
      <c r="BX138" s="66">
        <f t="shared" si="357"/>
        <v>0</v>
      </c>
      <c r="BY138" s="66">
        <f t="shared" si="358"/>
        <v>0</v>
      </c>
      <c r="BZ138" s="66">
        <f t="shared" si="359"/>
        <v>0</v>
      </c>
      <c r="CA138" s="66"/>
      <c r="CB138" s="66">
        <f t="shared" si="360"/>
        <v>0</v>
      </c>
      <c r="CC138" s="22">
        <f t="shared" si="274"/>
        <v>0</v>
      </c>
      <c r="CD138" s="66">
        <f t="shared" si="309"/>
        <v>0</v>
      </c>
      <c r="CE138" s="66"/>
      <c r="CF138" s="66"/>
      <c r="CG138" s="66"/>
      <c r="CH138" s="66"/>
      <c r="CI138" s="66"/>
      <c r="CJ138" s="66"/>
      <c r="CK138" s="66"/>
      <c r="CL138" s="66"/>
      <c r="CM138" s="66"/>
      <c r="CN138" s="66"/>
      <c r="CO138" s="66"/>
      <c r="CP138" s="66"/>
      <c r="CQ138" s="66"/>
      <c r="CR138" s="66"/>
      <c r="CS138" s="66"/>
      <c r="CT138" s="66"/>
      <c r="CU138" s="66"/>
      <c r="CV138" s="66"/>
      <c r="CW138" s="66"/>
      <c r="CX138" s="66"/>
      <c r="CY138" s="66"/>
      <c r="CZ138" s="66"/>
      <c r="DA138" s="66"/>
      <c r="DB138" s="22">
        <f t="shared" si="336"/>
        <v>1</v>
      </c>
      <c r="DC138" s="66">
        <f t="shared" si="310"/>
        <v>4000000</v>
      </c>
      <c r="DD138" s="66">
        <f t="shared" si="361"/>
        <v>0</v>
      </c>
      <c r="DE138" s="66">
        <f t="shared" si="362"/>
        <v>4000000</v>
      </c>
      <c r="DF138" s="66">
        <f t="shared" si="363"/>
        <v>0</v>
      </c>
      <c r="DG138" s="66">
        <f t="shared" si="334"/>
        <v>0</v>
      </c>
      <c r="DH138" s="66">
        <f t="shared" si="364"/>
        <v>0</v>
      </c>
      <c r="DI138" s="66">
        <f t="shared" si="365"/>
        <v>0</v>
      </c>
      <c r="DJ138" s="66">
        <f t="shared" si="366"/>
        <v>0</v>
      </c>
      <c r="DK138" s="66">
        <f t="shared" si="367"/>
        <v>0</v>
      </c>
      <c r="DL138" s="66">
        <f t="shared" si="368"/>
        <v>0</v>
      </c>
      <c r="DM138" s="66">
        <f t="shared" si="369"/>
        <v>0</v>
      </c>
      <c r="DN138" s="66">
        <f t="shared" si="370"/>
        <v>0</v>
      </c>
      <c r="DO138" s="66">
        <f t="shared" si="371"/>
        <v>0</v>
      </c>
      <c r="DP138" s="66">
        <f t="shared" si="372"/>
        <v>0</v>
      </c>
      <c r="DQ138" s="66">
        <f t="shared" si="373"/>
        <v>0</v>
      </c>
      <c r="DR138" s="66">
        <f t="shared" si="374"/>
        <v>0</v>
      </c>
      <c r="DS138" s="66">
        <f t="shared" si="375"/>
        <v>0</v>
      </c>
      <c r="DT138" s="66">
        <f t="shared" si="376"/>
        <v>0</v>
      </c>
      <c r="DU138" s="66">
        <f t="shared" si="377"/>
        <v>0</v>
      </c>
      <c r="DV138" s="66">
        <f t="shared" si="378"/>
        <v>0</v>
      </c>
      <c r="DW138" s="66">
        <f t="shared" si="379"/>
        <v>0</v>
      </c>
      <c r="DX138" s="66">
        <f t="shared" si="380"/>
        <v>0</v>
      </c>
      <c r="DY138" s="66"/>
      <c r="DZ138" s="66">
        <f t="shared" si="381"/>
        <v>0</v>
      </c>
      <c r="EB138" s="9">
        <f t="shared" si="337"/>
        <v>4000000</v>
      </c>
      <c r="EC138" s="9">
        <f t="shared" si="338"/>
        <v>4000000</v>
      </c>
      <c r="ED138" s="9">
        <f t="shared" si="339"/>
        <v>4000000</v>
      </c>
    </row>
    <row r="139" spans="1:136" ht="27.6" customHeight="1" x14ac:dyDescent="0.3">
      <c r="A139" s="207"/>
      <c r="B139" s="211"/>
      <c r="C139" s="70" t="s">
        <v>29</v>
      </c>
      <c r="D139" s="69" t="s">
        <v>28</v>
      </c>
      <c r="E139" s="68">
        <v>510</v>
      </c>
      <c r="F139" s="67" t="s">
        <v>21</v>
      </c>
      <c r="G139" s="66">
        <f t="shared" si="285"/>
        <v>100000000</v>
      </c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>
        <v>100000000</v>
      </c>
      <c r="Z139" s="66"/>
      <c r="AA139" s="66"/>
      <c r="AB139" s="66"/>
      <c r="AC139" s="66"/>
      <c r="AD139" s="66"/>
      <c r="AE139" s="22">
        <f t="shared" si="275"/>
        <v>1</v>
      </c>
      <c r="AF139" s="66">
        <f t="shared" si="286"/>
        <v>100000000</v>
      </c>
      <c r="AG139" s="66"/>
      <c r="AH139" s="66"/>
      <c r="AI139" s="66"/>
      <c r="AJ139" s="66"/>
      <c r="AK139" s="66"/>
      <c r="AL139" s="66"/>
      <c r="AM139" s="66"/>
      <c r="AN139" s="66"/>
      <c r="AO139" s="66"/>
      <c r="AP139" s="66"/>
      <c r="AQ139" s="66"/>
      <c r="AR139" s="66"/>
      <c r="AS139" s="66"/>
      <c r="AT139" s="66"/>
      <c r="AU139" s="66"/>
      <c r="AV139" s="66"/>
      <c r="AW139" s="66"/>
      <c r="AX139" s="66">
        <f>+'[4]JUNIO 2019'!$Z$2278</f>
        <v>100000000</v>
      </c>
      <c r="AY139" s="66"/>
      <c r="AZ139" s="66"/>
      <c r="BA139" s="66"/>
      <c r="BB139" s="66"/>
      <c r="BC139" s="66"/>
      <c r="BD139" s="22">
        <f t="shared" si="335"/>
        <v>0</v>
      </c>
      <c r="BE139" s="66">
        <f t="shared" si="287"/>
        <v>0</v>
      </c>
      <c r="BF139" s="66">
        <f t="shared" si="340"/>
        <v>0</v>
      </c>
      <c r="BG139" s="66">
        <f t="shared" si="341"/>
        <v>0</v>
      </c>
      <c r="BH139" s="66">
        <f t="shared" si="342"/>
        <v>0</v>
      </c>
      <c r="BI139" s="66">
        <f t="shared" si="290"/>
        <v>0</v>
      </c>
      <c r="BJ139" s="66">
        <f t="shared" si="343"/>
        <v>0</v>
      </c>
      <c r="BK139" s="66">
        <f t="shared" si="344"/>
        <v>0</v>
      </c>
      <c r="BL139" s="66">
        <f t="shared" si="345"/>
        <v>0</v>
      </c>
      <c r="BM139" s="66">
        <f t="shared" si="346"/>
        <v>0</v>
      </c>
      <c r="BN139" s="66">
        <f t="shared" si="347"/>
        <v>0</v>
      </c>
      <c r="BO139" s="66">
        <f t="shared" si="348"/>
        <v>0</v>
      </c>
      <c r="BP139" s="66">
        <f t="shared" si="349"/>
        <v>0</v>
      </c>
      <c r="BQ139" s="66">
        <f t="shared" si="350"/>
        <v>0</v>
      </c>
      <c r="BR139" s="66">
        <f t="shared" si="351"/>
        <v>0</v>
      </c>
      <c r="BS139" s="66">
        <f t="shared" si="352"/>
        <v>0</v>
      </c>
      <c r="BT139" s="66">
        <f t="shared" si="353"/>
        <v>0</v>
      </c>
      <c r="BU139" s="66">
        <f t="shared" si="354"/>
        <v>0</v>
      </c>
      <c r="BV139" s="66">
        <f t="shared" si="355"/>
        <v>0</v>
      </c>
      <c r="BW139" s="66">
        <f t="shared" si="356"/>
        <v>0</v>
      </c>
      <c r="BX139" s="66">
        <f t="shared" si="357"/>
        <v>0</v>
      </c>
      <c r="BY139" s="66">
        <f t="shared" si="358"/>
        <v>0</v>
      </c>
      <c r="BZ139" s="66">
        <f t="shared" si="359"/>
        <v>0</v>
      </c>
      <c r="CA139" s="66"/>
      <c r="CB139" s="66">
        <f t="shared" si="360"/>
        <v>0</v>
      </c>
      <c r="CC139" s="22"/>
      <c r="CD139" s="66">
        <f t="shared" si="309"/>
        <v>94200000</v>
      </c>
      <c r="CE139" s="66"/>
      <c r="CF139" s="66"/>
      <c r="CG139" s="66"/>
      <c r="CH139" s="66"/>
      <c r="CI139" s="66"/>
      <c r="CJ139" s="66"/>
      <c r="CK139" s="66"/>
      <c r="CL139" s="66"/>
      <c r="CM139" s="66"/>
      <c r="CN139" s="66"/>
      <c r="CO139" s="66"/>
      <c r="CP139" s="66"/>
      <c r="CQ139" s="66"/>
      <c r="CR139" s="66"/>
      <c r="CS139" s="66"/>
      <c r="CT139" s="66"/>
      <c r="CU139" s="66"/>
      <c r="CV139" s="66">
        <f>+'[7]AGOSTO 2019'!$H$3175</f>
        <v>94200000</v>
      </c>
      <c r="CW139" s="66"/>
      <c r="CX139" s="66"/>
      <c r="CY139" s="66"/>
      <c r="CZ139" s="66"/>
      <c r="DA139" s="66"/>
      <c r="DB139" s="22">
        <f t="shared" si="336"/>
        <v>1</v>
      </c>
      <c r="DC139" s="66">
        <f t="shared" si="310"/>
        <v>5800000</v>
      </c>
      <c r="DD139" s="66">
        <f t="shared" si="361"/>
        <v>0</v>
      </c>
      <c r="DE139" s="66">
        <f t="shared" si="362"/>
        <v>0</v>
      </c>
      <c r="DF139" s="66">
        <f t="shared" si="363"/>
        <v>0</v>
      </c>
      <c r="DG139" s="66">
        <f t="shared" si="334"/>
        <v>0</v>
      </c>
      <c r="DH139" s="66">
        <f t="shared" si="364"/>
        <v>0</v>
      </c>
      <c r="DI139" s="66">
        <f t="shared" si="365"/>
        <v>0</v>
      </c>
      <c r="DJ139" s="66">
        <f t="shared" si="366"/>
        <v>0</v>
      </c>
      <c r="DK139" s="66">
        <f t="shared" si="367"/>
        <v>0</v>
      </c>
      <c r="DL139" s="66">
        <f t="shared" si="368"/>
        <v>0</v>
      </c>
      <c r="DM139" s="66">
        <f t="shared" si="369"/>
        <v>0</v>
      </c>
      <c r="DN139" s="66">
        <f t="shared" si="370"/>
        <v>0</v>
      </c>
      <c r="DO139" s="66">
        <f t="shared" si="371"/>
        <v>0</v>
      </c>
      <c r="DP139" s="66">
        <f t="shared" si="372"/>
        <v>0</v>
      </c>
      <c r="DQ139" s="66">
        <f t="shared" si="373"/>
        <v>0</v>
      </c>
      <c r="DR139" s="66">
        <f t="shared" si="374"/>
        <v>0</v>
      </c>
      <c r="DS139" s="66">
        <f t="shared" si="375"/>
        <v>0</v>
      </c>
      <c r="DT139" s="66">
        <f t="shared" si="376"/>
        <v>0</v>
      </c>
      <c r="DU139" s="66">
        <f t="shared" si="377"/>
        <v>5800000</v>
      </c>
      <c r="DV139" s="66">
        <f t="shared" si="378"/>
        <v>0</v>
      </c>
      <c r="DW139" s="66">
        <f t="shared" si="379"/>
        <v>0</v>
      </c>
      <c r="DX139" s="66">
        <f t="shared" si="380"/>
        <v>0</v>
      </c>
      <c r="DY139" s="66"/>
      <c r="DZ139" s="66">
        <f t="shared" si="381"/>
        <v>0</v>
      </c>
      <c r="EB139" s="9">
        <f t="shared" si="337"/>
        <v>100000000</v>
      </c>
      <c r="EC139" s="9">
        <f t="shared" si="338"/>
        <v>100000000</v>
      </c>
      <c r="ED139" s="9">
        <f t="shared" si="339"/>
        <v>100000000</v>
      </c>
    </row>
    <row r="140" spans="1:136" ht="42" customHeight="1" x14ac:dyDescent="0.3">
      <c r="A140" s="207"/>
      <c r="B140" s="212" t="s">
        <v>27</v>
      </c>
      <c r="C140" s="70" t="s">
        <v>26</v>
      </c>
      <c r="D140" s="69" t="s">
        <v>25</v>
      </c>
      <c r="E140" s="68">
        <v>310</v>
      </c>
      <c r="F140" s="67" t="s">
        <v>24</v>
      </c>
      <c r="G140" s="66">
        <f t="shared" si="285"/>
        <v>131000000</v>
      </c>
      <c r="H140" s="66"/>
      <c r="I140" s="66">
        <f>150000000-35000000</f>
        <v>115000000</v>
      </c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  <c r="AA140" s="66"/>
      <c r="AB140" s="66"/>
      <c r="AC140" s="66"/>
      <c r="AD140" s="66">
        <f>13000000+3000000</f>
        <v>16000000</v>
      </c>
      <c r="AE140" s="22">
        <f t="shared" si="275"/>
        <v>1</v>
      </c>
      <c r="AF140" s="66">
        <f t="shared" si="286"/>
        <v>131000000</v>
      </c>
      <c r="AG140" s="66"/>
      <c r="AH140" s="66">
        <f>+'[5]MARZO 2019'!$K$225</f>
        <v>115000000</v>
      </c>
      <c r="AI140" s="66"/>
      <c r="AJ140" s="66"/>
      <c r="AK140" s="66"/>
      <c r="AL140" s="66"/>
      <c r="AM140" s="66"/>
      <c r="AN140" s="66"/>
      <c r="AO140" s="66"/>
      <c r="AP140" s="66"/>
      <c r="AQ140" s="66"/>
      <c r="AR140" s="66"/>
      <c r="AS140" s="66"/>
      <c r="AT140" s="66"/>
      <c r="AU140" s="66"/>
      <c r="AV140" s="66"/>
      <c r="AW140" s="66"/>
      <c r="AX140" s="66"/>
      <c r="AY140" s="66"/>
      <c r="AZ140" s="66"/>
      <c r="BA140" s="66"/>
      <c r="BB140" s="66"/>
      <c r="BC140" s="66">
        <f>+'[11]JULIO 2019'!$AF$572</f>
        <v>16000000</v>
      </c>
      <c r="BD140" s="22">
        <f t="shared" si="335"/>
        <v>0</v>
      </c>
      <c r="BE140" s="66">
        <f t="shared" si="287"/>
        <v>0</v>
      </c>
      <c r="BF140" s="66">
        <f t="shared" si="340"/>
        <v>0</v>
      </c>
      <c r="BG140" s="66">
        <f t="shared" si="341"/>
        <v>0</v>
      </c>
      <c r="BH140" s="66">
        <f t="shared" si="342"/>
        <v>0</v>
      </c>
      <c r="BI140" s="66">
        <f t="shared" si="290"/>
        <v>0</v>
      </c>
      <c r="BJ140" s="66">
        <f t="shared" si="343"/>
        <v>0</v>
      </c>
      <c r="BK140" s="66">
        <f t="shared" si="344"/>
        <v>0</v>
      </c>
      <c r="BL140" s="66">
        <f t="shared" si="345"/>
        <v>0</v>
      </c>
      <c r="BM140" s="66">
        <f t="shared" si="346"/>
        <v>0</v>
      </c>
      <c r="BN140" s="66">
        <f t="shared" si="347"/>
        <v>0</v>
      </c>
      <c r="BO140" s="66">
        <f t="shared" si="348"/>
        <v>0</v>
      </c>
      <c r="BP140" s="66">
        <f t="shared" si="349"/>
        <v>0</v>
      </c>
      <c r="BQ140" s="66">
        <f t="shared" si="350"/>
        <v>0</v>
      </c>
      <c r="BR140" s="66">
        <f t="shared" si="351"/>
        <v>0</v>
      </c>
      <c r="BS140" s="66">
        <f t="shared" si="352"/>
        <v>0</v>
      </c>
      <c r="BT140" s="66">
        <f t="shared" si="353"/>
        <v>0</v>
      </c>
      <c r="BU140" s="66">
        <f t="shared" si="354"/>
        <v>0</v>
      </c>
      <c r="BV140" s="66">
        <f t="shared" si="355"/>
        <v>0</v>
      </c>
      <c r="BW140" s="66">
        <f t="shared" si="356"/>
        <v>0</v>
      </c>
      <c r="BX140" s="66">
        <f t="shared" si="357"/>
        <v>0</v>
      </c>
      <c r="BY140" s="66">
        <f t="shared" si="358"/>
        <v>0</v>
      </c>
      <c r="BZ140" s="66">
        <f t="shared" si="359"/>
        <v>0</v>
      </c>
      <c r="CA140" s="66"/>
      <c r="CB140" s="66">
        <f t="shared" si="360"/>
        <v>0</v>
      </c>
      <c r="CC140" s="22">
        <f>+CD140/G140</f>
        <v>0.93422573282442745</v>
      </c>
      <c r="CD140" s="66">
        <f t="shared" si="309"/>
        <v>122383571</v>
      </c>
      <c r="CE140" s="66"/>
      <c r="CF140" s="66">
        <f>'[1]OCTUBRE 2019'!$H$950-DA140</f>
        <v>113463049</v>
      </c>
      <c r="CG140" s="66"/>
      <c r="CH140" s="66"/>
      <c r="CI140" s="66"/>
      <c r="CJ140" s="66"/>
      <c r="CK140" s="66"/>
      <c r="CL140" s="66"/>
      <c r="CM140" s="66"/>
      <c r="CN140" s="66"/>
      <c r="CO140" s="66"/>
      <c r="CP140" s="66"/>
      <c r="CQ140" s="66"/>
      <c r="CR140" s="66"/>
      <c r="CS140" s="66"/>
      <c r="CT140" s="66"/>
      <c r="CU140" s="66"/>
      <c r="CV140" s="66"/>
      <c r="CW140" s="66"/>
      <c r="CX140" s="66"/>
      <c r="CY140" s="66"/>
      <c r="CZ140" s="66"/>
      <c r="DA140" s="66">
        <f>+'[1]OCTUBRE 2019'!$H$1028+'[1]OCTUBRE 2019'!$H$1066</f>
        <v>8920522</v>
      </c>
      <c r="DB140" s="22">
        <f t="shared" si="336"/>
        <v>6.5774267175572554E-2</v>
      </c>
      <c r="DC140" s="66">
        <f t="shared" si="310"/>
        <v>8616429</v>
      </c>
      <c r="DD140" s="66">
        <f t="shared" si="361"/>
        <v>0</v>
      </c>
      <c r="DE140" s="66">
        <f t="shared" si="362"/>
        <v>1536951</v>
      </c>
      <c r="DF140" s="66">
        <f t="shared" si="363"/>
        <v>0</v>
      </c>
      <c r="DG140" s="66">
        <f t="shared" si="334"/>
        <v>0</v>
      </c>
      <c r="DH140" s="66">
        <f t="shared" si="364"/>
        <v>0</v>
      </c>
      <c r="DI140" s="66">
        <f t="shared" si="365"/>
        <v>0</v>
      </c>
      <c r="DJ140" s="66">
        <f t="shared" si="366"/>
        <v>0</v>
      </c>
      <c r="DK140" s="66">
        <f t="shared" si="367"/>
        <v>0</v>
      </c>
      <c r="DL140" s="66">
        <f t="shared" si="368"/>
        <v>0</v>
      </c>
      <c r="DM140" s="66">
        <f t="shared" si="369"/>
        <v>0</v>
      </c>
      <c r="DN140" s="66">
        <f t="shared" si="370"/>
        <v>0</v>
      </c>
      <c r="DO140" s="66">
        <f t="shared" si="371"/>
        <v>0</v>
      </c>
      <c r="DP140" s="66">
        <f t="shared" si="372"/>
        <v>0</v>
      </c>
      <c r="DQ140" s="66">
        <f t="shared" si="373"/>
        <v>0</v>
      </c>
      <c r="DR140" s="66">
        <f t="shared" si="374"/>
        <v>0</v>
      </c>
      <c r="DS140" s="66">
        <f t="shared" si="375"/>
        <v>0</v>
      </c>
      <c r="DT140" s="66">
        <f t="shared" si="376"/>
        <v>0</v>
      </c>
      <c r="DU140" s="66">
        <f t="shared" si="377"/>
        <v>0</v>
      </c>
      <c r="DV140" s="66">
        <f t="shared" si="378"/>
        <v>0</v>
      </c>
      <c r="DW140" s="66">
        <f t="shared" si="379"/>
        <v>0</v>
      </c>
      <c r="DX140" s="66">
        <f t="shared" si="380"/>
        <v>0</v>
      </c>
      <c r="DY140" s="66"/>
      <c r="DZ140" s="66">
        <f t="shared" si="381"/>
        <v>7079478</v>
      </c>
      <c r="EB140" s="9">
        <f t="shared" si="337"/>
        <v>131000000</v>
      </c>
      <c r="EC140" s="9">
        <f t="shared" si="338"/>
        <v>131000000</v>
      </c>
      <c r="ED140" s="9">
        <f t="shared" si="339"/>
        <v>131000000</v>
      </c>
    </row>
    <row r="141" spans="1:136" ht="19.2" customHeight="1" x14ac:dyDescent="0.3">
      <c r="A141" s="208"/>
      <c r="B141" s="213"/>
      <c r="C141" s="70" t="s">
        <v>23</v>
      </c>
      <c r="D141" s="69" t="s">
        <v>22</v>
      </c>
      <c r="E141" s="68">
        <v>310</v>
      </c>
      <c r="F141" s="67" t="s">
        <v>21</v>
      </c>
      <c r="G141" s="66">
        <f t="shared" si="285"/>
        <v>35000000</v>
      </c>
      <c r="H141" s="66"/>
      <c r="I141" s="66">
        <f>35000000</f>
        <v>35000000</v>
      </c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  <c r="AA141" s="66"/>
      <c r="AB141" s="66"/>
      <c r="AC141" s="66"/>
      <c r="AD141" s="66"/>
      <c r="AE141" s="22">
        <f t="shared" si="275"/>
        <v>1</v>
      </c>
      <c r="AF141" s="66">
        <f t="shared" si="286"/>
        <v>35000000</v>
      </c>
      <c r="AG141" s="66"/>
      <c r="AH141" s="66">
        <f>+'[11]JULIO 2019'!$K$685</f>
        <v>35000000</v>
      </c>
      <c r="AI141" s="66"/>
      <c r="AJ141" s="66"/>
      <c r="AK141" s="66"/>
      <c r="AL141" s="66"/>
      <c r="AM141" s="66"/>
      <c r="AN141" s="66"/>
      <c r="AO141" s="66"/>
      <c r="AP141" s="66"/>
      <c r="AQ141" s="66"/>
      <c r="AR141" s="66"/>
      <c r="AS141" s="66"/>
      <c r="AT141" s="66"/>
      <c r="AU141" s="66"/>
      <c r="AV141" s="66"/>
      <c r="AW141" s="66"/>
      <c r="AX141" s="66"/>
      <c r="AY141" s="66"/>
      <c r="AZ141" s="66"/>
      <c r="BA141" s="66"/>
      <c r="BB141" s="66"/>
      <c r="BC141" s="66"/>
      <c r="BD141" s="22">
        <f t="shared" si="335"/>
        <v>0</v>
      </c>
      <c r="BE141" s="66">
        <f t="shared" si="287"/>
        <v>0</v>
      </c>
      <c r="BF141" s="66">
        <f t="shared" si="340"/>
        <v>0</v>
      </c>
      <c r="BG141" s="66">
        <f t="shared" si="341"/>
        <v>0</v>
      </c>
      <c r="BH141" s="66">
        <f t="shared" si="342"/>
        <v>0</v>
      </c>
      <c r="BI141" s="66">
        <f t="shared" si="290"/>
        <v>0</v>
      </c>
      <c r="BJ141" s="66">
        <f t="shared" si="343"/>
        <v>0</v>
      </c>
      <c r="BK141" s="66">
        <f t="shared" si="344"/>
        <v>0</v>
      </c>
      <c r="BL141" s="66">
        <f t="shared" si="345"/>
        <v>0</v>
      </c>
      <c r="BM141" s="66">
        <f t="shared" si="346"/>
        <v>0</v>
      </c>
      <c r="BN141" s="66">
        <f t="shared" si="347"/>
        <v>0</v>
      </c>
      <c r="BO141" s="66">
        <f t="shared" si="348"/>
        <v>0</v>
      </c>
      <c r="BP141" s="66">
        <f t="shared" si="349"/>
        <v>0</v>
      </c>
      <c r="BQ141" s="66">
        <f t="shared" si="350"/>
        <v>0</v>
      </c>
      <c r="BR141" s="66">
        <f t="shared" si="351"/>
        <v>0</v>
      </c>
      <c r="BS141" s="66">
        <f t="shared" si="352"/>
        <v>0</v>
      </c>
      <c r="BT141" s="66">
        <f t="shared" si="353"/>
        <v>0</v>
      </c>
      <c r="BU141" s="66">
        <f t="shared" si="354"/>
        <v>0</v>
      </c>
      <c r="BV141" s="66">
        <f t="shared" si="355"/>
        <v>0</v>
      </c>
      <c r="BW141" s="66">
        <f t="shared" si="356"/>
        <v>0</v>
      </c>
      <c r="BX141" s="66">
        <f t="shared" si="357"/>
        <v>0</v>
      </c>
      <c r="BY141" s="66">
        <f t="shared" si="358"/>
        <v>0</v>
      </c>
      <c r="BZ141" s="66">
        <f t="shared" si="359"/>
        <v>0</v>
      </c>
      <c r="CA141" s="66"/>
      <c r="CB141" s="66"/>
      <c r="CC141" s="22">
        <f>+CD141/G141</f>
        <v>0.96515977142857146</v>
      </c>
      <c r="CD141" s="66">
        <f t="shared" si="309"/>
        <v>33780592</v>
      </c>
      <c r="CE141" s="66"/>
      <c r="CF141" s="66">
        <f>+'[11]JULIO 2019'!$H$683</f>
        <v>33780592</v>
      </c>
      <c r="CG141" s="66"/>
      <c r="CH141" s="66"/>
      <c r="CI141" s="66"/>
      <c r="CJ141" s="66"/>
      <c r="CK141" s="66"/>
      <c r="CL141" s="66"/>
      <c r="CM141" s="66"/>
      <c r="CN141" s="66"/>
      <c r="CO141" s="66"/>
      <c r="CP141" s="66"/>
      <c r="CQ141" s="66"/>
      <c r="CR141" s="66"/>
      <c r="CS141" s="66"/>
      <c r="CT141" s="66"/>
      <c r="CU141" s="66"/>
      <c r="CV141" s="66"/>
      <c r="CW141" s="66"/>
      <c r="CX141" s="66"/>
      <c r="CY141" s="66"/>
      <c r="CZ141" s="66"/>
      <c r="DA141" s="66"/>
      <c r="DB141" s="22">
        <f t="shared" si="336"/>
        <v>3.4840228571428544E-2</v>
      </c>
      <c r="DC141" s="66">
        <f t="shared" si="310"/>
        <v>1219408</v>
      </c>
      <c r="DD141" s="66">
        <f t="shared" si="361"/>
        <v>0</v>
      </c>
      <c r="DE141" s="66">
        <f t="shared" si="362"/>
        <v>1219408</v>
      </c>
      <c r="DF141" s="66">
        <f t="shared" si="363"/>
        <v>0</v>
      </c>
      <c r="DG141" s="66">
        <f t="shared" si="334"/>
        <v>0</v>
      </c>
      <c r="DH141" s="66">
        <f t="shared" si="364"/>
        <v>0</v>
      </c>
      <c r="DI141" s="66">
        <f t="shared" si="365"/>
        <v>0</v>
      </c>
      <c r="DJ141" s="66">
        <f t="shared" si="366"/>
        <v>0</v>
      </c>
      <c r="DK141" s="66">
        <f t="shared" si="367"/>
        <v>0</v>
      </c>
      <c r="DL141" s="66">
        <f t="shared" si="368"/>
        <v>0</v>
      </c>
      <c r="DM141" s="66">
        <f t="shared" si="369"/>
        <v>0</v>
      </c>
      <c r="DN141" s="66">
        <f t="shared" si="370"/>
        <v>0</v>
      </c>
      <c r="DO141" s="66">
        <f t="shared" si="371"/>
        <v>0</v>
      </c>
      <c r="DP141" s="66">
        <f t="shared" si="372"/>
        <v>0</v>
      </c>
      <c r="DQ141" s="66">
        <f t="shared" si="373"/>
        <v>0</v>
      </c>
      <c r="DR141" s="66">
        <f t="shared" si="374"/>
        <v>0</v>
      </c>
      <c r="DS141" s="66">
        <f t="shared" si="375"/>
        <v>0</v>
      </c>
      <c r="DT141" s="66">
        <f t="shared" si="376"/>
        <v>0</v>
      </c>
      <c r="DU141" s="66">
        <f t="shared" si="377"/>
        <v>0</v>
      </c>
      <c r="DV141" s="66">
        <f t="shared" si="378"/>
        <v>0</v>
      </c>
      <c r="DW141" s="66">
        <f t="shared" si="379"/>
        <v>0</v>
      </c>
      <c r="DX141" s="66">
        <f t="shared" si="380"/>
        <v>0</v>
      </c>
      <c r="DY141" s="66"/>
      <c r="DZ141" s="66"/>
      <c r="EB141" s="9">
        <f t="shared" si="337"/>
        <v>35000000</v>
      </c>
      <c r="EC141" s="9">
        <f t="shared" si="338"/>
        <v>35000000</v>
      </c>
      <c r="ED141" s="9">
        <f t="shared" si="339"/>
        <v>35000000</v>
      </c>
    </row>
    <row r="142" spans="1:136" s="59" customFormat="1" ht="20.25" customHeight="1" thickBot="1" x14ac:dyDescent="0.35">
      <c r="A142" s="65"/>
      <c r="B142" s="214" t="s">
        <v>20</v>
      </c>
      <c r="C142" s="215"/>
      <c r="D142" s="216"/>
      <c r="E142" s="64"/>
      <c r="F142" s="63"/>
      <c r="G142" s="61">
        <f t="shared" ref="G142:AD142" si="382">SUM(G122:G141)</f>
        <v>20745884228</v>
      </c>
      <c r="H142" s="61">
        <f t="shared" si="382"/>
        <v>0</v>
      </c>
      <c r="I142" s="61">
        <f t="shared" si="382"/>
        <v>812610598</v>
      </c>
      <c r="J142" s="61">
        <f t="shared" si="382"/>
        <v>0</v>
      </c>
      <c r="K142" s="61">
        <f t="shared" si="382"/>
        <v>1216000000</v>
      </c>
      <c r="L142" s="61">
        <f t="shared" si="382"/>
        <v>10500000000</v>
      </c>
      <c r="M142" s="61">
        <f t="shared" si="382"/>
        <v>0</v>
      </c>
      <c r="N142" s="61">
        <f t="shared" si="382"/>
        <v>0</v>
      </c>
      <c r="O142" s="61">
        <f t="shared" si="382"/>
        <v>2079799356</v>
      </c>
      <c r="P142" s="61">
        <f t="shared" si="382"/>
        <v>875630318</v>
      </c>
      <c r="Q142" s="61">
        <f t="shared" si="382"/>
        <v>838723421</v>
      </c>
      <c r="R142" s="61">
        <f t="shared" si="382"/>
        <v>692156723</v>
      </c>
      <c r="S142" s="61">
        <f t="shared" si="382"/>
        <v>0</v>
      </c>
      <c r="T142" s="61">
        <f t="shared" si="382"/>
        <v>121047242</v>
      </c>
      <c r="U142" s="61">
        <f t="shared" si="382"/>
        <v>65905320</v>
      </c>
      <c r="V142" s="61">
        <f t="shared" si="382"/>
        <v>227290061</v>
      </c>
      <c r="W142" s="61">
        <f t="shared" si="382"/>
        <v>70000000</v>
      </c>
      <c r="X142" s="61">
        <f t="shared" si="382"/>
        <v>347806613</v>
      </c>
      <c r="Y142" s="61">
        <f t="shared" si="382"/>
        <v>1544837929</v>
      </c>
      <c r="Z142" s="61">
        <f t="shared" si="382"/>
        <v>210178916</v>
      </c>
      <c r="AA142" s="61">
        <f t="shared" si="382"/>
        <v>0</v>
      </c>
      <c r="AB142" s="61">
        <f t="shared" si="382"/>
        <v>0</v>
      </c>
      <c r="AC142" s="61">
        <f t="shared" si="382"/>
        <v>364870888</v>
      </c>
      <c r="AD142" s="61">
        <f t="shared" si="382"/>
        <v>779026843</v>
      </c>
      <c r="AE142" s="62">
        <f t="shared" si="275"/>
        <v>0.44245496475928758</v>
      </c>
      <c r="AF142" s="61">
        <f t="shared" ref="AF142:BC142" si="383">SUM(AF122:AF141)</f>
        <v>9179119475</v>
      </c>
      <c r="AG142" s="61">
        <f t="shared" si="383"/>
        <v>0</v>
      </c>
      <c r="AH142" s="61">
        <f t="shared" si="383"/>
        <v>795823498</v>
      </c>
      <c r="AI142" s="61">
        <f t="shared" si="383"/>
        <v>0</v>
      </c>
      <c r="AJ142" s="61">
        <f t="shared" si="383"/>
        <v>1216000000</v>
      </c>
      <c r="AK142" s="61">
        <f t="shared" si="383"/>
        <v>0</v>
      </c>
      <c r="AL142" s="61">
        <f t="shared" si="383"/>
        <v>0</v>
      </c>
      <c r="AM142" s="61">
        <f t="shared" si="383"/>
        <v>0</v>
      </c>
      <c r="AN142" s="61">
        <f t="shared" si="383"/>
        <v>1888216568</v>
      </c>
      <c r="AO142" s="61">
        <f t="shared" si="383"/>
        <v>759278628</v>
      </c>
      <c r="AP142" s="61">
        <f t="shared" si="383"/>
        <v>666113243</v>
      </c>
      <c r="AQ142" s="61">
        <f t="shared" si="383"/>
        <v>613843827</v>
      </c>
      <c r="AR142" s="61">
        <f t="shared" si="383"/>
        <v>0</v>
      </c>
      <c r="AS142" s="61">
        <f t="shared" si="383"/>
        <v>45000000</v>
      </c>
      <c r="AT142" s="61">
        <f t="shared" si="383"/>
        <v>32413220</v>
      </c>
      <c r="AU142" s="61">
        <f t="shared" si="383"/>
        <v>227290061</v>
      </c>
      <c r="AV142" s="61">
        <f t="shared" si="383"/>
        <v>70000000</v>
      </c>
      <c r="AW142" s="61">
        <f t="shared" si="383"/>
        <v>341490366</v>
      </c>
      <c r="AX142" s="61">
        <f t="shared" si="383"/>
        <v>1504406039</v>
      </c>
      <c r="AY142" s="61">
        <f t="shared" si="383"/>
        <v>210178916</v>
      </c>
      <c r="AZ142" s="61">
        <f t="shared" si="383"/>
        <v>0</v>
      </c>
      <c r="BA142" s="61">
        <f t="shared" si="383"/>
        <v>0</v>
      </c>
      <c r="BB142" s="61">
        <f t="shared" si="383"/>
        <v>202962884</v>
      </c>
      <c r="BC142" s="61">
        <f t="shared" si="383"/>
        <v>606102225</v>
      </c>
      <c r="BD142" s="62">
        <f t="shared" si="335"/>
        <v>0.55754503524071242</v>
      </c>
      <c r="BE142" s="61">
        <f t="shared" ref="BE142:CB142" si="384">SUM(BE122:BE141)</f>
        <v>11566764753</v>
      </c>
      <c r="BF142" s="61">
        <f t="shared" si="384"/>
        <v>0</v>
      </c>
      <c r="BG142" s="61">
        <f t="shared" si="384"/>
        <v>16787100</v>
      </c>
      <c r="BH142" s="61">
        <f t="shared" si="384"/>
        <v>0</v>
      </c>
      <c r="BI142" s="61">
        <f t="shared" si="384"/>
        <v>0</v>
      </c>
      <c r="BJ142" s="61">
        <f t="shared" si="384"/>
        <v>10500000000</v>
      </c>
      <c r="BK142" s="61">
        <f t="shared" si="384"/>
        <v>0</v>
      </c>
      <c r="BL142" s="61">
        <f t="shared" si="384"/>
        <v>0</v>
      </c>
      <c r="BM142" s="61">
        <f t="shared" si="384"/>
        <v>191582788</v>
      </c>
      <c r="BN142" s="61">
        <f t="shared" si="384"/>
        <v>116351690</v>
      </c>
      <c r="BO142" s="61">
        <f t="shared" si="384"/>
        <v>172610178</v>
      </c>
      <c r="BP142" s="61">
        <f t="shared" si="384"/>
        <v>78312896</v>
      </c>
      <c r="BQ142" s="61">
        <f t="shared" si="384"/>
        <v>0</v>
      </c>
      <c r="BR142" s="61">
        <f t="shared" si="384"/>
        <v>76047242</v>
      </c>
      <c r="BS142" s="61">
        <f t="shared" si="384"/>
        <v>33492100</v>
      </c>
      <c r="BT142" s="61">
        <f t="shared" si="384"/>
        <v>0</v>
      </c>
      <c r="BU142" s="61">
        <f t="shared" si="384"/>
        <v>0</v>
      </c>
      <c r="BV142" s="61">
        <f t="shared" si="384"/>
        <v>6316247</v>
      </c>
      <c r="BW142" s="61">
        <f t="shared" si="384"/>
        <v>40431890</v>
      </c>
      <c r="BX142" s="61">
        <f t="shared" si="384"/>
        <v>0</v>
      </c>
      <c r="BY142" s="61">
        <f t="shared" si="384"/>
        <v>0</v>
      </c>
      <c r="BZ142" s="61">
        <f t="shared" si="384"/>
        <v>0</v>
      </c>
      <c r="CA142" s="61">
        <f t="shared" si="384"/>
        <v>161908004</v>
      </c>
      <c r="CB142" s="61">
        <f t="shared" si="384"/>
        <v>172924618</v>
      </c>
      <c r="CC142" s="62">
        <f>+CD142/G142</f>
        <v>0.2888047391064425</v>
      </c>
      <c r="CD142" s="61">
        <f>SUM(CD122:CD141)</f>
        <v>5991509682</v>
      </c>
      <c r="CE142" s="61">
        <f>SUM(CE122:CE141)</f>
        <v>0</v>
      </c>
      <c r="CF142" s="61">
        <f>SUM(CF122:CF141)</f>
        <v>793067136</v>
      </c>
      <c r="CG142" s="61">
        <f>SUM(CG122:CG141)</f>
        <v>0</v>
      </c>
      <c r="CH142" s="61">
        <f>SUM(CG122:CG141)</f>
        <v>0</v>
      </c>
      <c r="CI142" s="61">
        <f t="shared" ref="CI142:DA142" si="385">SUM(CI122:CI141)</f>
        <v>0</v>
      </c>
      <c r="CJ142" s="61">
        <f t="shared" si="385"/>
        <v>0</v>
      </c>
      <c r="CK142" s="61">
        <f t="shared" si="385"/>
        <v>0</v>
      </c>
      <c r="CL142" s="61">
        <f t="shared" si="385"/>
        <v>1517777263</v>
      </c>
      <c r="CM142" s="61">
        <f t="shared" si="385"/>
        <v>320274188</v>
      </c>
      <c r="CN142" s="61">
        <f t="shared" si="385"/>
        <v>229327662</v>
      </c>
      <c r="CO142" s="61">
        <f t="shared" si="385"/>
        <v>579413205</v>
      </c>
      <c r="CP142" s="61">
        <f t="shared" si="385"/>
        <v>0</v>
      </c>
      <c r="CQ142" s="61">
        <f t="shared" si="385"/>
        <v>0</v>
      </c>
      <c r="CR142" s="61">
        <f t="shared" si="385"/>
        <v>3567404</v>
      </c>
      <c r="CS142" s="61">
        <f t="shared" si="385"/>
        <v>52159883</v>
      </c>
      <c r="CT142" s="61">
        <f t="shared" si="385"/>
        <v>48980841</v>
      </c>
      <c r="CU142" s="61">
        <f t="shared" si="385"/>
        <v>314411289</v>
      </c>
      <c r="CV142" s="61">
        <f t="shared" si="385"/>
        <v>1457303553</v>
      </c>
      <c r="CW142" s="61">
        <f t="shared" si="385"/>
        <v>106710000</v>
      </c>
      <c r="CX142" s="61">
        <f t="shared" si="385"/>
        <v>0</v>
      </c>
      <c r="CY142" s="61">
        <f t="shared" si="385"/>
        <v>0</v>
      </c>
      <c r="CZ142" s="61">
        <f t="shared" si="385"/>
        <v>144299911</v>
      </c>
      <c r="DA142" s="61">
        <f t="shared" si="385"/>
        <v>424217347</v>
      </c>
      <c r="DB142" s="62">
        <f t="shared" si="336"/>
        <v>0.71119526089355745</v>
      </c>
      <c r="DC142" s="61">
        <f t="shared" ref="DC142:DZ142" si="386">SUM(DC122:DC141)</f>
        <v>14754374546</v>
      </c>
      <c r="DD142" s="61">
        <f t="shared" si="386"/>
        <v>0</v>
      </c>
      <c r="DE142" s="61">
        <f t="shared" si="386"/>
        <v>19543462</v>
      </c>
      <c r="DF142" s="61">
        <f t="shared" si="386"/>
        <v>0</v>
      </c>
      <c r="DG142" s="61">
        <f t="shared" si="386"/>
        <v>1216000000</v>
      </c>
      <c r="DH142" s="61">
        <f t="shared" si="386"/>
        <v>10500000000</v>
      </c>
      <c r="DI142" s="61">
        <f t="shared" si="386"/>
        <v>0</v>
      </c>
      <c r="DJ142" s="61">
        <f t="shared" si="386"/>
        <v>0</v>
      </c>
      <c r="DK142" s="61">
        <f t="shared" si="386"/>
        <v>562022093</v>
      </c>
      <c r="DL142" s="61">
        <f t="shared" si="386"/>
        <v>555356130</v>
      </c>
      <c r="DM142" s="61">
        <f t="shared" si="386"/>
        <v>609395759</v>
      </c>
      <c r="DN142" s="61">
        <f t="shared" si="386"/>
        <v>112743518</v>
      </c>
      <c r="DO142" s="61">
        <f t="shared" si="386"/>
        <v>0</v>
      </c>
      <c r="DP142" s="61">
        <f t="shared" si="386"/>
        <v>121047242</v>
      </c>
      <c r="DQ142" s="61">
        <f t="shared" si="386"/>
        <v>62337916</v>
      </c>
      <c r="DR142" s="61">
        <f t="shared" si="386"/>
        <v>175130178</v>
      </c>
      <c r="DS142" s="61">
        <f t="shared" si="386"/>
        <v>21019159</v>
      </c>
      <c r="DT142" s="61">
        <f t="shared" si="386"/>
        <v>33395324</v>
      </c>
      <c r="DU142" s="61">
        <f t="shared" si="386"/>
        <v>87534376</v>
      </c>
      <c r="DV142" s="61">
        <f t="shared" si="386"/>
        <v>103468916</v>
      </c>
      <c r="DW142" s="61">
        <f t="shared" si="386"/>
        <v>0</v>
      </c>
      <c r="DX142" s="61">
        <f t="shared" si="386"/>
        <v>0</v>
      </c>
      <c r="DY142" s="61">
        <f t="shared" si="386"/>
        <v>220570977</v>
      </c>
      <c r="DZ142" s="61">
        <f t="shared" si="386"/>
        <v>354809496</v>
      </c>
      <c r="EB142" s="9">
        <f t="shared" si="337"/>
        <v>20745884228</v>
      </c>
      <c r="EC142" s="9">
        <f t="shared" si="338"/>
        <v>20745884228</v>
      </c>
      <c r="ED142" s="9">
        <f t="shared" si="339"/>
        <v>20745884228</v>
      </c>
      <c r="EE142" s="60"/>
    </row>
    <row r="143" spans="1:136" ht="5.25" customHeight="1" thickTop="1" x14ac:dyDescent="0.3">
      <c r="C143" s="58"/>
      <c r="D143" s="58"/>
      <c r="E143" s="58"/>
      <c r="F143" s="58"/>
      <c r="G143" s="56"/>
      <c r="H143" s="56"/>
      <c r="I143" s="57"/>
      <c r="J143" s="56"/>
      <c r="K143" s="56"/>
      <c r="L143" s="56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3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53"/>
      <c r="BE143" s="49"/>
      <c r="BF143" s="49"/>
      <c r="BG143" s="49"/>
      <c r="BH143" s="49"/>
      <c r="BI143" s="49"/>
      <c r="BJ143" s="49"/>
      <c r="BK143" s="49"/>
      <c r="BL143" s="49"/>
      <c r="BM143" s="49"/>
      <c r="BN143" s="49"/>
      <c r="BO143" s="49"/>
      <c r="BP143" s="49"/>
      <c r="BQ143" s="49"/>
      <c r="BR143" s="49"/>
      <c r="BS143" s="49"/>
      <c r="BT143" s="49"/>
      <c r="BU143" s="49"/>
      <c r="BV143" s="49"/>
      <c r="BW143" s="49"/>
      <c r="BX143" s="49"/>
      <c r="BY143" s="49"/>
      <c r="BZ143" s="49"/>
      <c r="CA143" s="49"/>
      <c r="CB143" s="49"/>
      <c r="CC143" s="53"/>
      <c r="CD143" s="54"/>
      <c r="CE143" s="49"/>
      <c r="CF143" s="49"/>
      <c r="CG143" s="49"/>
      <c r="CH143" s="49"/>
      <c r="CI143" s="49"/>
      <c r="CJ143" s="49"/>
      <c r="CK143" s="49"/>
      <c r="CL143" s="49"/>
      <c r="CM143" s="49"/>
      <c r="CN143" s="49"/>
      <c r="CO143" s="49"/>
      <c r="CP143" s="49"/>
      <c r="CQ143" s="49"/>
      <c r="CR143" s="49"/>
      <c r="CS143" s="49"/>
      <c r="CT143" s="49"/>
      <c r="CU143" s="49"/>
      <c r="CV143" s="49"/>
      <c r="CW143" s="49"/>
      <c r="CX143" s="49"/>
      <c r="CY143" s="49"/>
      <c r="CZ143" s="49"/>
      <c r="DA143" s="49"/>
      <c r="DB143" s="53"/>
      <c r="DC143" s="49"/>
      <c r="DD143" s="49"/>
      <c r="DE143" s="49"/>
      <c r="DF143" s="49"/>
      <c r="DG143" s="49"/>
      <c r="DH143" s="49"/>
      <c r="DI143" s="49"/>
      <c r="DJ143" s="49"/>
      <c r="DK143" s="49"/>
      <c r="DL143" s="49"/>
      <c r="DM143" s="49"/>
      <c r="DN143" s="49"/>
      <c r="DO143" s="49"/>
      <c r="DP143" s="49"/>
      <c r="DQ143" s="49"/>
      <c r="DR143" s="49"/>
      <c r="DS143" s="49"/>
      <c r="DT143" s="49"/>
      <c r="DU143" s="49"/>
      <c r="DV143" s="49"/>
      <c r="DW143" s="49"/>
      <c r="DX143" s="49"/>
      <c r="DY143" s="49"/>
      <c r="DZ143" s="49"/>
      <c r="EB143" s="9"/>
      <c r="EC143" s="9"/>
      <c r="ED143" s="9"/>
    </row>
    <row r="144" spans="1:136" ht="19.5" customHeight="1" x14ac:dyDescent="0.3">
      <c r="C144" s="200" t="s">
        <v>19</v>
      </c>
      <c r="D144" s="201"/>
      <c r="E144" s="202"/>
      <c r="F144" s="52"/>
      <c r="G144" s="49">
        <f t="shared" ref="G144:AD144" si="387">G39+G80+G104+G121+G142</f>
        <v>42445623888</v>
      </c>
      <c r="H144" s="49">
        <f t="shared" si="387"/>
        <v>467762013</v>
      </c>
      <c r="I144" s="49">
        <f t="shared" si="387"/>
        <v>2969410598</v>
      </c>
      <c r="J144" s="49">
        <f t="shared" si="387"/>
        <v>80644090</v>
      </c>
      <c r="K144" s="49">
        <f t="shared" si="387"/>
        <v>2311816144</v>
      </c>
      <c r="L144" s="49">
        <f t="shared" si="387"/>
        <v>10500000000</v>
      </c>
      <c r="M144" s="49">
        <f t="shared" si="387"/>
        <v>208000000</v>
      </c>
      <c r="N144" s="49">
        <f t="shared" si="387"/>
        <v>244096406</v>
      </c>
      <c r="O144" s="49">
        <f t="shared" si="387"/>
        <v>4798861038</v>
      </c>
      <c r="P144" s="49">
        <f t="shared" si="387"/>
        <v>986590852</v>
      </c>
      <c r="Q144" s="49">
        <f t="shared" si="387"/>
        <v>899683955</v>
      </c>
      <c r="R144" s="49">
        <f t="shared" si="387"/>
        <v>833117257</v>
      </c>
      <c r="S144" s="49">
        <f t="shared" si="387"/>
        <v>797458202</v>
      </c>
      <c r="T144" s="49">
        <f t="shared" si="387"/>
        <v>151047242</v>
      </c>
      <c r="U144" s="49">
        <f t="shared" si="387"/>
        <v>177491556</v>
      </c>
      <c r="V144" s="49">
        <f t="shared" si="387"/>
        <v>247290061</v>
      </c>
      <c r="W144" s="49">
        <f t="shared" si="387"/>
        <v>5673269814</v>
      </c>
      <c r="X144" s="49">
        <f t="shared" si="387"/>
        <v>1161806613</v>
      </c>
      <c r="Y144" s="49">
        <f t="shared" si="387"/>
        <v>1841680997</v>
      </c>
      <c r="Z144" s="49">
        <f t="shared" si="387"/>
        <v>1651021615</v>
      </c>
      <c r="AA144" s="49">
        <f t="shared" si="387"/>
        <v>1770728185</v>
      </c>
      <c r="AB144" s="49">
        <f t="shared" si="387"/>
        <v>453752865</v>
      </c>
      <c r="AC144" s="49">
        <f t="shared" si="387"/>
        <v>1337681906</v>
      </c>
      <c r="AD144" s="49">
        <f t="shared" si="387"/>
        <v>2882412479</v>
      </c>
      <c r="AE144" s="51">
        <f>+AF144/G144</f>
        <v>0.58245585920082255</v>
      </c>
      <c r="AF144" s="49">
        <f t="shared" ref="AF144:BC144" si="388">AF39+AF80+AF104+AF121+AF142</f>
        <v>24722702331</v>
      </c>
      <c r="AG144" s="49">
        <f t="shared" si="388"/>
        <v>444103222</v>
      </c>
      <c r="AH144" s="50">
        <f t="shared" si="388"/>
        <v>2788518660</v>
      </c>
      <c r="AI144" s="50">
        <f t="shared" si="388"/>
        <v>71205370</v>
      </c>
      <c r="AJ144" s="50">
        <f t="shared" si="388"/>
        <v>1216000000</v>
      </c>
      <c r="AK144" s="50">
        <f t="shared" si="388"/>
        <v>0</v>
      </c>
      <c r="AL144" s="50">
        <f t="shared" si="388"/>
        <v>208000000</v>
      </c>
      <c r="AM144" s="49">
        <f t="shared" si="388"/>
        <v>236438964</v>
      </c>
      <c r="AN144" s="49">
        <f t="shared" si="388"/>
        <v>3990901707</v>
      </c>
      <c r="AO144" s="49">
        <f t="shared" si="388"/>
        <v>759278628</v>
      </c>
      <c r="AP144" s="49">
        <f t="shared" si="388"/>
        <v>685555509</v>
      </c>
      <c r="AQ144" s="49">
        <f t="shared" si="388"/>
        <v>618849766</v>
      </c>
      <c r="AR144" s="49">
        <f t="shared" si="388"/>
        <v>688781491</v>
      </c>
      <c r="AS144" s="49">
        <f t="shared" si="388"/>
        <v>46614681</v>
      </c>
      <c r="AT144" s="49">
        <f t="shared" si="388"/>
        <v>42390459</v>
      </c>
      <c r="AU144" s="49">
        <f t="shared" si="388"/>
        <v>229882999</v>
      </c>
      <c r="AV144" s="49">
        <f t="shared" si="388"/>
        <v>3026536885</v>
      </c>
      <c r="AW144" s="49">
        <f t="shared" si="388"/>
        <v>1040593732</v>
      </c>
      <c r="AX144" s="49">
        <f t="shared" si="388"/>
        <v>1690781737</v>
      </c>
      <c r="AY144" s="49">
        <f t="shared" si="388"/>
        <v>1231835487</v>
      </c>
      <c r="AZ144" s="49">
        <f t="shared" si="388"/>
        <v>1770547588</v>
      </c>
      <c r="BA144" s="49">
        <f t="shared" si="388"/>
        <v>254320879</v>
      </c>
      <c r="BB144" s="49">
        <f t="shared" si="388"/>
        <v>767292884</v>
      </c>
      <c r="BC144" s="49">
        <f t="shared" si="388"/>
        <v>2232455539</v>
      </c>
      <c r="BD144" s="27">
        <f>1-AE144</f>
        <v>0.41754414079917745</v>
      </c>
      <c r="BE144" s="49">
        <f t="shared" ref="BE144:CB144" si="389">BE39+BE80+BE104+BE121+BE142</f>
        <v>17722921557</v>
      </c>
      <c r="BF144" s="49">
        <f t="shared" si="389"/>
        <v>23658791</v>
      </c>
      <c r="BG144" s="50">
        <f t="shared" si="389"/>
        <v>180891938</v>
      </c>
      <c r="BH144" s="50">
        <f t="shared" si="389"/>
        <v>9438720</v>
      </c>
      <c r="BI144" s="50">
        <f t="shared" si="389"/>
        <v>414000000</v>
      </c>
      <c r="BJ144" s="50">
        <f t="shared" si="389"/>
        <v>10500000000</v>
      </c>
      <c r="BK144" s="50">
        <f t="shared" si="389"/>
        <v>0</v>
      </c>
      <c r="BL144" s="49">
        <f t="shared" si="389"/>
        <v>7657442</v>
      </c>
      <c r="BM144" s="49">
        <f t="shared" si="389"/>
        <v>807959331</v>
      </c>
      <c r="BN144" s="49">
        <f t="shared" si="389"/>
        <v>227312224</v>
      </c>
      <c r="BO144" s="49">
        <f t="shared" si="389"/>
        <v>214128446</v>
      </c>
      <c r="BP144" s="49">
        <f t="shared" si="389"/>
        <v>214267491</v>
      </c>
      <c r="BQ144" s="49">
        <f t="shared" si="389"/>
        <v>108676711</v>
      </c>
      <c r="BR144" s="49">
        <f t="shared" si="389"/>
        <v>104432561</v>
      </c>
      <c r="BS144" s="49">
        <f t="shared" si="389"/>
        <v>135101097</v>
      </c>
      <c r="BT144" s="49">
        <f t="shared" si="389"/>
        <v>17407062</v>
      </c>
      <c r="BU144" s="49">
        <f t="shared" si="389"/>
        <v>2646732929</v>
      </c>
      <c r="BV144" s="49">
        <f t="shared" si="389"/>
        <v>121212881</v>
      </c>
      <c r="BW144" s="49">
        <f t="shared" si="389"/>
        <v>150899260</v>
      </c>
      <c r="BX144" s="49">
        <f t="shared" si="389"/>
        <v>419186128</v>
      </c>
      <c r="BY144" s="49">
        <f t="shared" si="389"/>
        <v>180597</v>
      </c>
      <c r="BZ144" s="49">
        <f t="shared" si="389"/>
        <v>199431986</v>
      </c>
      <c r="CA144" s="49">
        <f t="shared" si="389"/>
        <v>570389022</v>
      </c>
      <c r="CB144" s="49">
        <f t="shared" si="389"/>
        <v>649956940</v>
      </c>
      <c r="CC144" s="27">
        <f>+CD144/G144</f>
        <v>0.4264634142912801</v>
      </c>
      <c r="CD144" s="49">
        <f>CD39+CD80+CD104+CD121+CD142</f>
        <v>18101505685</v>
      </c>
      <c r="CE144" s="49">
        <f>CE39+CE80+CE104+CE121+CE142</f>
        <v>442882518</v>
      </c>
      <c r="CF144" s="49">
        <f>CF39+CF80+CF104+CF121+CF142</f>
        <v>2588308982</v>
      </c>
      <c r="CG144" s="49">
        <f>CG39+CG80+CG104+CG121+CH142</f>
        <v>33329347</v>
      </c>
      <c r="CH144" s="49">
        <f>CH39+CH80+CH104+CH121+CI142</f>
        <v>108959308</v>
      </c>
      <c r="CI144" s="49">
        <f t="shared" ref="CI144:DA144" si="390">CI39+CI80+CI104+CI121+CI142</f>
        <v>0</v>
      </c>
      <c r="CJ144" s="49">
        <f t="shared" si="390"/>
        <v>205876669</v>
      </c>
      <c r="CK144" s="49">
        <f t="shared" si="390"/>
        <v>236438964</v>
      </c>
      <c r="CL144" s="49">
        <f t="shared" si="390"/>
        <v>3159032839</v>
      </c>
      <c r="CM144" s="49">
        <f t="shared" si="390"/>
        <v>320274188</v>
      </c>
      <c r="CN144" s="49">
        <f t="shared" si="390"/>
        <v>248769928</v>
      </c>
      <c r="CO144" s="49">
        <f t="shared" si="390"/>
        <v>584278464</v>
      </c>
      <c r="CP144" s="49">
        <f t="shared" si="390"/>
        <v>508099968</v>
      </c>
      <c r="CQ144" s="49">
        <f t="shared" si="390"/>
        <v>1614681</v>
      </c>
      <c r="CR144" s="49">
        <f t="shared" si="390"/>
        <v>13320090</v>
      </c>
      <c r="CS144" s="49">
        <f t="shared" si="390"/>
        <v>54752821</v>
      </c>
      <c r="CT144" s="49">
        <f t="shared" si="390"/>
        <v>1992811986</v>
      </c>
      <c r="CU144" s="49">
        <f t="shared" si="390"/>
        <v>936884459</v>
      </c>
      <c r="CV144" s="49">
        <f t="shared" si="390"/>
        <v>1626945020</v>
      </c>
      <c r="CW144" s="49">
        <f t="shared" si="390"/>
        <v>850519868</v>
      </c>
      <c r="CX144" s="49">
        <f t="shared" si="390"/>
        <v>1694221856</v>
      </c>
      <c r="CY144" s="49">
        <f t="shared" si="390"/>
        <v>208651389</v>
      </c>
      <c r="CZ144" s="49">
        <f t="shared" si="390"/>
        <v>611344094</v>
      </c>
      <c r="DA144" s="49">
        <f t="shared" si="390"/>
        <v>1674188246</v>
      </c>
      <c r="DB144" s="22">
        <f>1-CC144</f>
        <v>0.5735365857087199</v>
      </c>
      <c r="DC144" s="49">
        <f t="shared" ref="DC144:DZ144" si="391">DC39+DC80+DC104+DC121+DC142</f>
        <v>24344118203</v>
      </c>
      <c r="DD144" s="49">
        <f t="shared" si="391"/>
        <v>24879495</v>
      </c>
      <c r="DE144" s="49">
        <f t="shared" si="391"/>
        <v>381101616</v>
      </c>
      <c r="DF144" s="49">
        <f t="shared" si="391"/>
        <v>47314743</v>
      </c>
      <c r="DG144" s="49">
        <f t="shared" si="391"/>
        <v>2202856836</v>
      </c>
      <c r="DH144" s="49">
        <f t="shared" si="391"/>
        <v>10500000000</v>
      </c>
      <c r="DI144" s="49">
        <f t="shared" si="391"/>
        <v>2123331</v>
      </c>
      <c r="DJ144" s="49">
        <f t="shared" si="391"/>
        <v>7657442</v>
      </c>
      <c r="DK144" s="49">
        <f t="shared" si="391"/>
        <v>1639828199</v>
      </c>
      <c r="DL144" s="49">
        <f t="shared" si="391"/>
        <v>666316664</v>
      </c>
      <c r="DM144" s="49">
        <f t="shared" si="391"/>
        <v>650914027</v>
      </c>
      <c r="DN144" s="49">
        <f t="shared" si="391"/>
        <v>248838793</v>
      </c>
      <c r="DO144" s="49">
        <f t="shared" si="391"/>
        <v>289358234</v>
      </c>
      <c r="DP144" s="49">
        <f t="shared" si="391"/>
        <v>149432561</v>
      </c>
      <c r="DQ144" s="49">
        <f t="shared" si="391"/>
        <v>164171466</v>
      </c>
      <c r="DR144" s="49">
        <f t="shared" si="391"/>
        <v>192537240</v>
      </c>
      <c r="DS144" s="49">
        <f t="shared" si="391"/>
        <v>3680457828</v>
      </c>
      <c r="DT144" s="49">
        <f t="shared" si="391"/>
        <v>224922154</v>
      </c>
      <c r="DU144" s="49">
        <f t="shared" si="391"/>
        <v>214735977</v>
      </c>
      <c r="DV144" s="49">
        <f t="shared" si="391"/>
        <v>800501747</v>
      </c>
      <c r="DW144" s="49">
        <f t="shared" si="391"/>
        <v>76506329</v>
      </c>
      <c r="DX144" s="49">
        <f t="shared" si="391"/>
        <v>245101476</v>
      </c>
      <c r="DY144" s="49">
        <f t="shared" si="391"/>
        <v>726337812</v>
      </c>
      <c r="DZ144" s="49">
        <f t="shared" si="391"/>
        <v>1208224233</v>
      </c>
      <c r="EB144" s="9">
        <f>+G144</f>
        <v>42445623888</v>
      </c>
      <c r="EC144" s="9">
        <f>+AF144+BE144</f>
        <v>42445623888</v>
      </c>
      <c r="ED144" s="9">
        <f>+CD144+DC144</f>
        <v>42445623888</v>
      </c>
      <c r="EF144" s="4"/>
    </row>
    <row r="145" spans="3:136" ht="5.25" customHeight="1" x14ac:dyDescent="0.3">
      <c r="C145" s="48"/>
      <c r="D145" s="48"/>
      <c r="E145" s="47"/>
      <c r="F145" s="47"/>
      <c r="G145" s="45"/>
      <c r="H145" s="45"/>
      <c r="I145" s="46"/>
      <c r="J145" s="45"/>
      <c r="K145" s="45"/>
      <c r="L145" s="45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31"/>
      <c r="AF145" s="40"/>
      <c r="AG145" s="40"/>
      <c r="AH145" s="40"/>
      <c r="AI145" s="40"/>
      <c r="AJ145" s="40"/>
      <c r="AK145" s="40"/>
      <c r="AL145" s="40"/>
      <c r="AM145" s="40"/>
      <c r="AN145" s="42"/>
      <c r="AO145" s="42"/>
      <c r="AP145" s="42"/>
      <c r="AQ145" s="42"/>
      <c r="AR145" s="42"/>
      <c r="AS145" s="42"/>
      <c r="AT145" s="42"/>
      <c r="AU145" s="42"/>
      <c r="AV145" s="42"/>
      <c r="AW145" s="42"/>
      <c r="AX145" s="42"/>
      <c r="AY145" s="42"/>
      <c r="AZ145" s="42"/>
      <c r="BA145" s="42"/>
      <c r="BB145" s="42"/>
      <c r="BC145" s="42"/>
      <c r="BD145" s="31"/>
      <c r="BE145" s="40"/>
      <c r="BF145" s="40"/>
      <c r="BG145" s="40"/>
      <c r="BH145" s="40"/>
      <c r="BI145" s="40"/>
      <c r="BJ145" s="40"/>
      <c r="BK145" s="40"/>
      <c r="BL145" s="39"/>
      <c r="BM145" s="39"/>
      <c r="BN145" s="39"/>
      <c r="BO145" s="39"/>
      <c r="BP145" s="39"/>
      <c r="BQ145" s="39"/>
      <c r="BR145" s="39"/>
      <c r="BS145" s="39"/>
      <c r="BT145" s="39"/>
      <c r="BU145" s="39"/>
      <c r="BV145" s="39"/>
      <c r="BW145" s="39"/>
      <c r="BX145" s="39"/>
      <c r="BY145" s="39"/>
      <c r="BZ145" s="39"/>
      <c r="CA145" s="39"/>
      <c r="CB145" s="39"/>
      <c r="CC145" s="31"/>
      <c r="CD145" s="44"/>
      <c r="CE145" s="43"/>
      <c r="CF145" s="43"/>
      <c r="CG145" s="43"/>
      <c r="CH145" s="43"/>
      <c r="CI145" s="43"/>
      <c r="CJ145" s="43"/>
      <c r="CK145" s="42"/>
      <c r="CL145" s="42"/>
      <c r="CM145" s="42"/>
      <c r="CN145" s="42"/>
      <c r="CO145" s="42"/>
      <c r="CP145" s="42"/>
      <c r="CQ145" s="42"/>
      <c r="CR145" s="42"/>
      <c r="CS145" s="42"/>
      <c r="CT145" s="42"/>
      <c r="CU145" s="42"/>
      <c r="CV145" s="42"/>
      <c r="CW145" s="42"/>
      <c r="CX145" s="42"/>
      <c r="CY145" s="42"/>
      <c r="CZ145" s="42"/>
      <c r="DA145" s="42"/>
      <c r="DB145" s="22"/>
      <c r="DC145" s="41"/>
      <c r="DD145" s="40"/>
      <c r="DE145" s="40"/>
      <c r="DF145" s="40"/>
      <c r="DG145" s="40"/>
      <c r="DH145" s="40"/>
      <c r="DI145" s="40"/>
      <c r="DJ145" s="39"/>
      <c r="DK145" s="39"/>
      <c r="DL145" s="39"/>
      <c r="DM145" s="39"/>
      <c r="DN145" s="39"/>
      <c r="DO145" s="39"/>
      <c r="DP145" s="39"/>
      <c r="DQ145" s="39"/>
      <c r="DR145" s="39"/>
      <c r="DS145" s="39"/>
      <c r="DT145" s="39"/>
      <c r="DU145" s="39"/>
      <c r="DV145" s="39"/>
      <c r="DW145" s="39"/>
      <c r="DX145" s="39"/>
      <c r="DY145" s="39"/>
      <c r="DZ145" s="39"/>
      <c r="EB145" s="9"/>
      <c r="EC145" s="9"/>
      <c r="ED145" s="9"/>
    </row>
    <row r="146" spans="3:136" ht="16.5" customHeight="1" x14ac:dyDescent="0.3">
      <c r="C146" s="38"/>
      <c r="D146" s="32" t="s">
        <v>18</v>
      </c>
      <c r="E146" s="31">
        <v>111</v>
      </c>
      <c r="F146" s="29"/>
      <c r="G146" s="24">
        <f>SUMIF($E$4:$E$141,"111",$G$4:$G$141)</f>
        <v>13043802420</v>
      </c>
      <c r="H146" s="30">
        <f>SUMIF($E$4:$E$142,"111",$H$4:$H$142)</f>
        <v>0</v>
      </c>
      <c r="I146" s="30">
        <f>SUMIF($E$4:$E$142,"111",$I$4:$I$142)</f>
        <v>0</v>
      </c>
      <c r="J146" s="30">
        <f>SUMIF($E$4:$E$142,"111",$J$4:$J$142)</f>
        <v>0</v>
      </c>
      <c r="K146" s="30">
        <f>SUMIF($E$4:$E$142,"111",$K$4:$K$142)</f>
        <v>0</v>
      </c>
      <c r="L146" s="24">
        <f>SUMIF($E$4:$E$141,"111",$L$4:$L$141)</f>
        <v>10500000000</v>
      </c>
      <c r="M146" s="29">
        <f>SUMIF($E$4:$E$142,"111",$M$4:$M$142)</f>
        <v>0</v>
      </c>
      <c r="N146" s="29">
        <f>SUMIF($E$4:$E$141,"111",$N$4:$N$141)</f>
        <v>0</v>
      </c>
      <c r="O146" s="29">
        <f>SUMIF($E$4:$E$141,"111",$O$4:$O$141)</f>
        <v>473013719</v>
      </c>
      <c r="P146" s="29">
        <f>SUMIF($E$4:$E$141,"111",$P$4:$P$141)</f>
        <v>216000000</v>
      </c>
      <c r="Q146" s="29">
        <f>SUMIF($E$4:$E$141,"111",$Q$4:$Q$141)</f>
        <v>288923121</v>
      </c>
      <c r="R146" s="29">
        <f>SUMIF($E$4:$E$141,"111",$R$4:$R$141)</f>
        <v>561370228</v>
      </c>
      <c r="S146" s="29">
        <f>SUMIF($E$4:$E$141,"111",$S$4:$S$141)</f>
        <v>0</v>
      </c>
      <c r="T146" s="29">
        <f>SUMIF($E$4:$E$141,"111",$T$4:$T$141)</f>
        <v>71047242</v>
      </c>
      <c r="U146" s="29">
        <f>SUMIF($E$4:$E$141,"111",$U$4:$U$141)</f>
        <v>5000000</v>
      </c>
      <c r="V146" s="29">
        <f>SUMIF($E$4:$E$141,"111",$V$4:$V$141)</f>
        <v>55159883</v>
      </c>
      <c r="W146" s="29">
        <f>SUMIF($E$4:$E$141,"111",$W$4:$W$141)</f>
        <v>20000000</v>
      </c>
      <c r="X146" s="29">
        <f>SUMIF($E$4:$E$141,"111",$X$4:$X$141)</f>
        <v>0</v>
      </c>
      <c r="Y146" s="29">
        <f>SUMIF($E$4:$E$141,"111",$Y$4:$Y$141)</f>
        <v>595237929</v>
      </c>
      <c r="Z146" s="29">
        <f>SUMIF($E$4:$E$141,"111",$Z$4:$Z$141)</f>
        <v>0</v>
      </c>
      <c r="AA146" s="29">
        <f>SUMIF($E$4:$E$141,"111",$AA$4:$AA$141)</f>
        <v>0</v>
      </c>
      <c r="AB146" s="29">
        <f>SUMIF($E$4:$E$141,"111",$AA$4:$AA$141)</f>
        <v>0</v>
      </c>
      <c r="AC146" s="29">
        <f>SUMIF($E$4:$E$141,"111",$AC$4:$AC$141)</f>
        <v>123846638</v>
      </c>
      <c r="AD146" s="29">
        <f>SUMIF($E$4:$E$141,"111",$AD$4:$AD$141)</f>
        <v>134203660</v>
      </c>
      <c r="AE146" s="28">
        <f t="shared" ref="AE146:AE153" si="392">+AF146/G146</f>
        <v>0.16000171581869146</v>
      </c>
      <c r="AF146" s="24">
        <f>SUMIF($E$4:$E$141,"111",$AF$4:$AF$141)</f>
        <v>2087030768</v>
      </c>
      <c r="AG146" s="24">
        <f>SUMIF($E$4:$E$141,"111",$AG$4:$AG$141)</f>
        <v>0</v>
      </c>
      <c r="AH146" s="24">
        <f>SUMIF($E$4:$E$141,"111",$AH$4:$AH$141)</f>
        <v>0</v>
      </c>
      <c r="AI146" s="24">
        <f>SUMIF($E$4:$E$141,"111",$AI$4:$AI$141)</f>
        <v>0</v>
      </c>
      <c r="AJ146" s="24">
        <f>SUMIF($E$4:$E$141,"111",$AJ$4:$AJ$141)</f>
        <v>0</v>
      </c>
      <c r="AK146" s="24">
        <f>SUMIF($E$4:$E$141,"111",$AK$4:$AK$141)</f>
        <v>0</v>
      </c>
      <c r="AL146" s="24">
        <f>SUMIF($E$4:$E$141,"111",$AL$4:$AL$141)</f>
        <v>0</v>
      </c>
      <c r="AM146" s="24">
        <f>SUMIF($E$4:$E$141,"111",$AM$4:$AM$141)</f>
        <v>0</v>
      </c>
      <c r="AN146" s="24">
        <f>SUMIF($E$4:$E$141,"111",$AN$4:$AN$141)</f>
        <v>415608719</v>
      </c>
      <c r="AO146" s="24">
        <f>SUMIF($E$4:$E$141,"111",$AO$4:$AO$141)</f>
        <v>133080914</v>
      </c>
      <c r="AP146" s="24">
        <f>SUMIF($E$4:$E$141,"111",$AP$4:$AP$141)</f>
        <v>231429351</v>
      </c>
      <c r="AQ146" s="24">
        <f>SUMIF($E$4:$E$141,"111",$AQ$4:$AQ$141)</f>
        <v>538277548</v>
      </c>
      <c r="AR146" s="24">
        <f>SUMIF($E$4:$E$141,"111",$AR$4:$AR$141)</f>
        <v>0</v>
      </c>
      <c r="AS146" s="24">
        <f>SUMIF($E$4:$E$141,"111",$AS$4:$AS$141)</f>
        <v>0</v>
      </c>
      <c r="AT146" s="24">
        <f>SUMIF($E$4:$E$141,"111",$AT$4:$AT$141)</f>
        <v>3567404</v>
      </c>
      <c r="AU146" s="24">
        <f>SUMIF($E$4:$E$141,"111",$AU$4:$AU$141)</f>
        <v>55159883</v>
      </c>
      <c r="AV146" s="24">
        <f>SUMIF($E$4:$E$141,"111",$AV$4:$AV$141)</f>
        <v>20000000</v>
      </c>
      <c r="AW146" s="24">
        <f>SUMIF($E$4:$E$141,"111",$AW$4:$AW$141)</f>
        <v>0</v>
      </c>
      <c r="AX146" s="24">
        <f>SUMIF($E$4:$E$141,"111",$AX$4:$AX$141)</f>
        <v>571724458</v>
      </c>
      <c r="AY146" s="24">
        <f>SUMIF($E$4:$E$141,"111",$AY$4:$AY$141)</f>
        <v>0</v>
      </c>
      <c r="AZ146" s="24">
        <f>SUMIF($E$4:$E$141,"111",$AZ$4:$AZ$141)</f>
        <v>0</v>
      </c>
      <c r="BA146" s="24">
        <f>SUMIF($E$4:$E$141,"111",$BA$4:$BA$141)</f>
        <v>0</v>
      </c>
      <c r="BB146" s="24">
        <f>SUMIF($E$4:$E$141,"111",$BB$4:$BB$141)</f>
        <v>34000000</v>
      </c>
      <c r="BC146" s="24">
        <f>SUMIF($E$4:$E$141,"111",$BC$4:$BC$141)</f>
        <v>84182491</v>
      </c>
      <c r="BD146" s="27">
        <f t="shared" ref="BD146:BD153" si="393">1-AE146</f>
        <v>0.83999828418130851</v>
      </c>
      <c r="BE146" s="21">
        <f t="shared" ref="BE146:BE152" si="394">SUM(BF146:CB146)</f>
        <v>10956771652</v>
      </c>
      <c r="BF146" s="20">
        <f>SUMIF($E$4:$E$141,"111",$BF$4:$BF$141)</f>
        <v>0</v>
      </c>
      <c r="BG146" s="20">
        <f>SUMIF($E$4:$E$141,"111",$BG$4:$BG$141)</f>
        <v>0</v>
      </c>
      <c r="BH146" s="20">
        <f>SUMIF($E$4:$E$141,"111",$BH$4:$BH$141)</f>
        <v>0</v>
      </c>
      <c r="BI146" s="20">
        <f>SUMIF($E$4:$E$141,"111",$BI$4:$BI$141)</f>
        <v>0</v>
      </c>
      <c r="BJ146" s="20">
        <f>SUMIF($E$4:$E$141,"111",$BJ$4:$BJ$141)</f>
        <v>10500000000</v>
      </c>
      <c r="BK146" s="20">
        <f>SUMIF($E$4:$E$141,"111",$BK$4:$BK$141)</f>
        <v>0</v>
      </c>
      <c r="BL146" s="20">
        <f>SUMIF($E$4:$E$141,"111",$BL$4:$BL$141)</f>
        <v>0</v>
      </c>
      <c r="BM146" s="20">
        <f>SUMIF($E$4:$E$141,"111",$BM$4:$BM$141)</f>
        <v>57405000</v>
      </c>
      <c r="BN146" s="20">
        <f>SUMIF($E$4:$E$141,"111",$BN$4:$BN$141)</f>
        <v>82919086</v>
      </c>
      <c r="BO146" s="20">
        <f>SUMIF($E$4:$E$141,"111",$BO$4:$BO$141)</f>
        <v>57493770</v>
      </c>
      <c r="BP146" s="20">
        <f>SUMIF($E$4:$E$141,"111",$BP$4:$BP$141)</f>
        <v>23092680</v>
      </c>
      <c r="BQ146" s="20">
        <f>SUMIF($E$4:$E$141,"111",$BQ$4:$BQ$141)</f>
        <v>0</v>
      </c>
      <c r="BR146" s="20">
        <f>SUMIF($E$4:$E$141,"111",$BR$4:$BR$141)</f>
        <v>71047242</v>
      </c>
      <c r="BS146" s="20">
        <f>SUMIF($E$4:$E$141,"111",$BS$4:$BS$141)</f>
        <v>1432596</v>
      </c>
      <c r="BT146" s="20">
        <f>SUMIF($E$4:$E$141,"111",$BT$4:$BT$141)</f>
        <v>0</v>
      </c>
      <c r="BU146" s="20">
        <f>SUMIF($E$4:$E$141,"111",$BU$4:$BU$141)</f>
        <v>0</v>
      </c>
      <c r="BV146" s="20">
        <f>SUMIF($E$4:$E$141,"111",$BV$4:$BV$141)</f>
        <v>0</v>
      </c>
      <c r="BW146" s="20">
        <f>SUMIF($E$4:$E$141,"111",$BW$4:$BW$141)</f>
        <v>23513471</v>
      </c>
      <c r="BX146" s="20">
        <f>SUMIF($E$4:$E$141,"111",$BX$4:$BX$141)</f>
        <v>0</v>
      </c>
      <c r="BY146" s="20">
        <f>SUMIF($E$4:$E$141,"111",$BY$4:$BY$141)</f>
        <v>0</v>
      </c>
      <c r="BZ146" s="20">
        <f>SUMIF($E$4:$E$141,"111",$BZ$4:$BZ$141)</f>
        <v>0</v>
      </c>
      <c r="CA146" s="20">
        <f>SUMIF($E$4:$E$141,"111",$CA$4:$CA$141)</f>
        <v>89846638</v>
      </c>
      <c r="CB146" s="26">
        <f>SUMIF($E$4:$E$141,"111",$CB$4:$CB$141)</f>
        <v>50021169</v>
      </c>
      <c r="CC146" s="25">
        <f t="shared" ref="CC146:CC153" si="395">+CD146/G146</f>
        <v>0.14296069558220126</v>
      </c>
      <c r="CD146" s="35">
        <f t="shared" ref="CD146:CD152" si="396">SUM(CE146:DA146)</f>
        <v>1864751067</v>
      </c>
      <c r="CE146" s="24">
        <f>SUMIF($E$4:$E$141,"111",$CE$4:$CE$141)</f>
        <v>0</v>
      </c>
      <c r="CF146" s="24">
        <f>SUMIF($E$4:$E$141,"111",$CF$4:$CF$141)</f>
        <v>0</v>
      </c>
      <c r="CG146" s="24">
        <f>SUMIF($E$4:$E$141,"111",$CG$4:$CG$141)</f>
        <v>0</v>
      </c>
      <c r="CH146" s="24">
        <f>SUMIF($E$4:$E$141,"111",$CH$4:$CH$141)</f>
        <v>0</v>
      </c>
      <c r="CI146" s="24">
        <f>SUMIF($E$4:$E$141,"111",$CI$4:$CI$141)</f>
        <v>0</v>
      </c>
      <c r="CJ146" s="24">
        <f>SUMIF($E$4:$E$141,"111",$CJ$4:$CJ$141)</f>
        <v>0</v>
      </c>
      <c r="CK146" s="24">
        <f>SUMIF($E$4:$E$141,"111",$CK$4:$CK$141)</f>
        <v>0</v>
      </c>
      <c r="CL146" s="24">
        <f>SUMIF($E$4:$E$141,"111",$CL$4:$CL$141)</f>
        <v>401903697</v>
      </c>
      <c r="CM146" s="24">
        <f>SUMIF($E$4:$E$141,"111",$CM$4:$CM$141)</f>
        <v>133080914</v>
      </c>
      <c r="CN146" s="24">
        <f>SUMIF($E$4:$E$141,"111",$CN$4:$CN$141)</f>
        <v>136444070</v>
      </c>
      <c r="CO146" s="24">
        <f>SUMIF($E$4:$E$141,"111",$CO$4:$CO$141)</f>
        <v>538277548</v>
      </c>
      <c r="CP146" s="24">
        <f>SUMIF($E$4:$E$141,"111",$CP$4:$CP$141)</f>
        <v>0</v>
      </c>
      <c r="CQ146" s="24">
        <f>SUMIF($E$4:$E$141,"111",$CQ$4:$CQ$141)</f>
        <v>0</v>
      </c>
      <c r="CR146" s="24">
        <f>SUMIF($E$4:$E$141,"111",$CR$4:$CR$141)</f>
        <v>3567404</v>
      </c>
      <c r="CS146" s="24">
        <f>SUMIF($E$4:$E$141,"111",$CS$4:$CS$141)</f>
        <v>32159883</v>
      </c>
      <c r="CT146" s="24">
        <f>SUMIF($E$4:$E$141,"111",$CT$4:$CT$141)</f>
        <v>19955896</v>
      </c>
      <c r="CU146" s="24">
        <f>SUMIF($E$4:$E$141,"111",$CU$4:$CU$141)</f>
        <v>0</v>
      </c>
      <c r="CV146" s="24">
        <f>SUMIF($E$4:$E$141,"111",$CV$4:$CV$141)</f>
        <v>533603631</v>
      </c>
      <c r="CW146" s="24">
        <f>SUMIF($E$4:$E$141,"111",$CW$4:$CW$141)</f>
        <v>0</v>
      </c>
      <c r="CX146" s="24">
        <f>SUMIF($E$4:$E$141,"111",$CX$4:$CX$141)</f>
        <v>0</v>
      </c>
      <c r="CY146" s="24">
        <f>SUMIF($E$4:$E$141,"111",$CY$4:$CY$141)</f>
        <v>0</v>
      </c>
      <c r="CZ146" s="24">
        <f>SUMIF($E$4:$E$141,"111",$CZ$4:$CZ$141)</f>
        <v>0</v>
      </c>
      <c r="DA146" s="23">
        <f>SUMIF($E$4:$E$141,"111",$DA$4:$DA$141)</f>
        <v>65758024</v>
      </c>
      <c r="DB146" s="22">
        <f t="shared" ref="DB146:DB153" si="397">1-CC146</f>
        <v>0.85703930441779874</v>
      </c>
      <c r="DC146" s="21">
        <f t="shared" ref="DC146:DC152" si="398">SUM(DD146:DZ146)</f>
        <v>11179051353</v>
      </c>
      <c r="DD146" s="20">
        <f>SUMIF($E$4:$E$141,"111",$DD$4:$DD$141)</f>
        <v>0</v>
      </c>
      <c r="DE146" s="20">
        <f>SUMIF($E$4:$E$141,"111",$DE$4:$DE$141)</f>
        <v>0</v>
      </c>
      <c r="DF146" s="20">
        <f>SUMIF($E$4:$E$141,"111",$DF$4:$DF$141)</f>
        <v>0</v>
      </c>
      <c r="DG146" s="20">
        <f>SUMIF($E$4:$E$141,"111",$DG$4:$DG$141)</f>
        <v>0</v>
      </c>
      <c r="DH146" s="20">
        <f>SUMIF($E$4:$E$141,"111",$DH$4:$DH$141)</f>
        <v>10500000000</v>
      </c>
      <c r="DI146" s="20">
        <f>SUMIF($E$4:$E$141,"111",$DI$4:$DI$141)</f>
        <v>0</v>
      </c>
      <c r="DJ146" s="20">
        <f>SUMIF($E$4:$E$141,"111",$DJ$4:$DJ$141)</f>
        <v>0</v>
      </c>
      <c r="DK146" s="20">
        <f>SUMIF($E$4:$E$141,"111",$DK$4:$DK$141)</f>
        <v>71110022</v>
      </c>
      <c r="DL146" s="20">
        <f>SUMIF($E$4:$E$141,"111",$DL$4:$DL$141)</f>
        <v>82919086</v>
      </c>
      <c r="DM146" s="20">
        <f>SUMIF($E$4:$E$141,"111",$DM$4:$DM$141)</f>
        <v>152479051</v>
      </c>
      <c r="DN146" s="20">
        <f>SUMIF($E$4:$E$141,"111",$DN$4:$DN$141)</f>
        <v>23092680</v>
      </c>
      <c r="DO146" s="19">
        <f>SUMIF($E$4:$E$141,"111",$DO$4:$DO$141)</f>
        <v>0</v>
      </c>
      <c r="DP146" s="19">
        <f>SUMIF($E$4:$E$141,"111",$DP$4:$DP$141)</f>
        <v>71047242</v>
      </c>
      <c r="DQ146" s="19">
        <f>SUMIF($E$4:$E$141,"111",$DQ$4:$DQ$141)</f>
        <v>1432596</v>
      </c>
      <c r="DR146" s="19">
        <f>SUMIF($E$4:$E$141,"111",$DR$4:$DR$141)</f>
        <v>23000000</v>
      </c>
      <c r="DS146" s="19">
        <f>SUMIF($E$4:$E$141,"111",$DS$4:$DS$141)</f>
        <v>44104</v>
      </c>
      <c r="DT146" s="19">
        <f>SUMIF($E$4:$E$141,"111",$DT$4:$DT$141)</f>
        <v>0</v>
      </c>
      <c r="DU146" s="19">
        <f>SUMIF($E$4:$E$141,"111",$DU$4:$DU$141)</f>
        <v>61634298</v>
      </c>
      <c r="DV146" s="19">
        <f>SUMIF($E$4:$E$141,"111",$DV$4:$DV$141)</f>
        <v>0</v>
      </c>
      <c r="DW146" s="19">
        <f>SUMIF($E$4:$E$141,"111",$DW$4:$DW$141)</f>
        <v>0</v>
      </c>
      <c r="DX146" s="19">
        <f>SUMIF($E$4:$E$141,"111",$DX$4:$DX$141)</f>
        <v>0</v>
      </c>
      <c r="DY146" s="19">
        <f>SUMIF($E$4:$E$141,"111",$DY$4:$DY$141)</f>
        <v>123846638</v>
      </c>
      <c r="DZ146" s="19">
        <f>SUMIF($E$4:$E$141,"111",$DZ$4:$DZ$141)</f>
        <v>68445636</v>
      </c>
      <c r="EB146" s="9">
        <f t="shared" ref="EB146:EB153" si="399">+G146</f>
        <v>13043802420</v>
      </c>
      <c r="EC146" s="9">
        <f t="shared" ref="EC146:EC152" si="400">+AF146+BE146</f>
        <v>13043802420</v>
      </c>
      <c r="ED146" s="9">
        <f t="shared" ref="ED146:ED153" si="401">+CD146+DC146</f>
        <v>13043802420</v>
      </c>
      <c r="EF146" s="4"/>
    </row>
    <row r="147" spans="3:136" ht="18" customHeight="1" x14ac:dyDescent="0.3">
      <c r="C147" s="36"/>
      <c r="D147" s="32" t="s">
        <v>17</v>
      </c>
      <c r="E147" s="31">
        <v>211</v>
      </c>
      <c r="F147" s="29"/>
      <c r="G147" s="24">
        <f>SUMIF($E$4:$E$141,"211",$G$4:$G$141)</f>
        <v>8014789419</v>
      </c>
      <c r="H147" s="30">
        <f>SUMIF($E$4:$E$142,"211",$H$4:$H$142)</f>
        <v>0</v>
      </c>
      <c r="I147" s="30">
        <f>SUMIF($E$4:$E$142,"211",$I$4:$I$142)</f>
        <v>263340125</v>
      </c>
      <c r="J147" s="30">
        <f>SUMIF($E$4:$E$142,"211",$J$4:$J$142)</f>
        <v>0</v>
      </c>
      <c r="K147" s="30">
        <f>SUMIF($E$4:$E$142,"211",$K$4:$K$142)</f>
        <v>1216000000</v>
      </c>
      <c r="L147" s="24">
        <f>SUMIF($E$4:$E$141,"211",$L$4:$L$141)</f>
        <v>0</v>
      </c>
      <c r="M147" s="29">
        <f>SUMIF($E$4:$E$141,"211",$M$4:$M$141)</f>
        <v>0</v>
      </c>
      <c r="N147" s="29">
        <f>SUMIF($E$4:$E$141,"211",$N$4:$N$141)</f>
        <v>244096406</v>
      </c>
      <c r="O147" s="29">
        <f>SUMIF($E$4:$E$141,"211",$O$4:$O$141)</f>
        <v>1906785637</v>
      </c>
      <c r="P147" s="29">
        <f>SUMIF($E$4:$E$141,"211",$P$4:$P$141)</f>
        <v>709630318</v>
      </c>
      <c r="Q147" s="29">
        <f>SUMIF($E$4:$E$141,"211",$Q$4:$Q$141)</f>
        <v>549800300</v>
      </c>
      <c r="R147" s="29">
        <f>SUMIF($E$4:$E$141,"211",$R$4:$R$141)</f>
        <v>170786495</v>
      </c>
      <c r="S147" s="29">
        <f>SUMIF($E$4:$E$141,"211",$S$4:$S$141)</f>
        <v>0</v>
      </c>
      <c r="T147" s="29">
        <f>SUMIF($E$4:$E$141,"211",$T$4:$T$141)</f>
        <v>50000000</v>
      </c>
      <c r="U147" s="29">
        <f>SUMIF($E$4:$E$141,"211",$U$4:$U$141)</f>
        <v>112491556</v>
      </c>
      <c r="V147" s="29">
        <f>SUMIF($E$4:$E$141,"211",$V$4:$V$141)</f>
        <v>172130178</v>
      </c>
      <c r="W147" s="29">
        <f>SUMIF($E$4:$E$141,"211",$W$4:$W$141)</f>
        <v>80000000</v>
      </c>
      <c r="X147" s="29">
        <f>SUMIF($E$4:$E$141,"211",$X$4:$X$141)</f>
        <v>347806613</v>
      </c>
      <c r="Y147" s="29">
        <f>SUMIF($E$4:$E$141,"211",$Y$4:$Y$141)</f>
        <v>812600000</v>
      </c>
      <c r="Z147" s="29">
        <f>SUMIF($E$4:$E$141,"211",$Z$4:$Z$141)</f>
        <v>210178916</v>
      </c>
      <c r="AA147" s="29">
        <f>SUMIF($E$4:$E$141,"211",$AA$4:$AA$141)</f>
        <v>0</v>
      </c>
      <c r="AB147" s="29"/>
      <c r="AC147" s="29">
        <f>SUMIF($E$4:$E$141,"211",$AC$4:$AC$141)</f>
        <v>241024250</v>
      </c>
      <c r="AD147" s="29">
        <f>SUMIF($E$4:$E$141,"211",$AD$4:$AD$141)</f>
        <v>928118625</v>
      </c>
      <c r="AE147" s="28">
        <f t="shared" si="392"/>
        <v>0.89952329850476886</v>
      </c>
      <c r="AF147" s="24">
        <f>SUMIF($E$4:$E$141,"211",$AF$4:$AF$141)</f>
        <v>7209489815</v>
      </c>
      <c r="AG147" s="24">
        <f>SUMIF($E$4:$E$141,"211",$AG$4:$AG$141)</f>
        <v>0</v>
      </c>
      <c r="AH147" s="24">
        <f>SUMIF($E$4:$E$141,"211",$AH$4:$AH$141)</f>
        <v>258340125</v>
      </c>
      <c r="AI147" s="24">
        <f>SUMIF($E$4:$E$141,"211",$AI$4:$AI$141)</f>
        <v>0</v>
      </c>
      <c r="AJ147" s="24">
        <f>SUMIF($E$4:$E$141,"211",$AJ$4:$AJ$141)</f>
        <v>1216000000</v>
      </c>
      <c r="AK147" s="24">
        <f>SUMIF($E$4:$E$141,"211",$AK$4:$AK$141)</f>
        <v>0</v>
      </c>
      <c r="AL147" s="24">
        <f>SUMIF($E$4:$E$141,"211",$AL$4:$AL$141)</f>
        <v>0</v>
      </c>
      <c r="AM147" s="24">
        <f>SUMIF($E$4:$E$141,"211",$AM$4:$AM$141)</f>
        <v>236438964</v>
      </c>
      <c r="AN147" s="24">
        <f>SUMIF($E$4:$E$141,"211",$AN$4:$AN$141)</f>
        <v>1772607849</v>
      </c>
      <c r="AO147" s="24">
        <f>SUMIF($E$4:$E$141,"211",$AO$4:$AO$141)</f>
        <v>626197714</v>
      </c>
      <c r="AP147" s="24">
        <f>SUMIF($E$4:$E$141,"211",$AP$4:$AP$141)</f>
        <v>434683892</v>
      </c>
      <c r="AQ147" s="24">
        <f>SUMIF($E$4:$E$141,"211",$AQ$4:$AQ$141)</f>
        <v>75566279</v>
      </c>
      <c r="AR147" s="24">
        <f>SUMIF($E$4:$E$141,"211",$AR$4:$AR$141)</f>
        <v>0</v>
      </c>
      <c r="AS147" s="24">
        <f>SUMIF($E$4:$E$141,"211",$AS$4:$AS$141)</f>
        <v>45000000</v>
      </c>
      <c r="AT147" s="24">
        <f>SUMIF($E$4:$E$141,"211",$AT$4:$AT$141)</f>
        <v>28845816</v>
      </c>
      <c r="AU147" s="24">
        <f>SUMIF($E$4:$E$141,"211",$AU$4:$AU$141)</f>
        <v>172130178</v>
      </c>
      <c r="AV147" s="24">
        <f>SUMIF($E$4:$E$141,"211",$AV$4:$AV$141)</f>
        <v>80000000</v>
      </c>
      <c r="AW147" s="24">
        <f>SUMIF($E$4:$E$141,"211",$AW$4:$AW$141)</f>
        <v>341490366</v>
      </c>
      <c r="AX147" s="24">
        <f>SUMIF($E$4:$E$141,"211",$AX$4:$AX$141)</f>
        <v>804883055</v>
      </c>
      <c r="AY147" s="24">
        <f>SUMIF($E$4:$E$141,"211",$AY$4:$AY$141)</f>
        <v>210178916</v>
      </c>
      <c r="AZ147" s="24">
        <f>SUMIF($E$4:$E$141,"211",$AZ$4:$AZ$141)</f>
        <v>0</v>
      </c>
      <c r="BA147" s="24">
        <f>SUMIF($E$4:$E$141,"211",$BA$4:$BA$141)</f>
        <v>0</v>
      </c>
      <c r="BB147" s="24">
        <f>SUMIF($E$4:$E$141,"211",$BB$4:$BB$141)</f>
        <v>168962884</v>
      </c>
      <c r="BC147" s="24">
        <f>SUMIF($E$4:$E$141,"211",$BC$4:$BC$141)</f>
        <v>738163777</v>
      </c>
      <c r="BD147" s="27">
        <f t="shared" si="393"/>
        <v>0.10047670149523114</v>
      </c>
      <c r="BE147" s="21">
        <f t="shared" si="394"/>
        <v>805299604</v>
      </c>
      <c r="BF147" s="20">
        <f>SUMIF($E$4:$E$141,"211",$BF$4:$BF$141)</f>
        <v>0</v>
      </c>
      <c r="BG147" s="20">
        <f>SUMIF($E$4:$E$141,"211",$BG$4:$BG$141)</f>
        <v>5000000</v>
      </c>
      <c r="BH147" s="20">
        <f>SUMIF($E$4:$E$141,"211",$BH$4:$BH$141)</f>
        <v>0</v>
      </c>
      <c r="BI147" s="20">
        <f>SUMIF($E$4:$E$141,"211",$BI$4:$BI$141)</f>
        <v>0</v>
      </c>
      <c r="BJ147" s="20">
        <f>SUMIF($E$4:$E$141,"211",$BJ$4:$BJ$141)</f>
        <v>0</v>
      </c>
      <c r="BK147" s="20">
        <f>SUMIF($E$4:$E$141,"211",$BK$4:$BK$141)</f>
        <v>0</v>
      </c>
      <c r="BL147" s="20">
        <f>SUMIF($E$4:$E$141,"211",$BL$4:$BL$141)</f>
        <v>7657442</v>
      </c>
      <c r="BM147" s="20">
        <f>SUMIF($E$4:$E$141,"211",$BM$4:$BM$141)</f>
        <v>134177788</v>
      </c>
      <c r="BN147" s="20">
        <f>SUMIF($E$4:$E$141,"211",$BN$4:$BN$141)</f>
        <v>83432604</v>
      </c>
      <c r="BO147" s="20">
        <f>SUMIF($E$4:$E$141,"211",$BO$4:$BO$141)</f>
        <v>115116408</v>
      </c>
      <c r="BP147" s="20">
        <f>SUMIF($E$4:$E$141,"211",$BP$4:$BP$141)</f>
        <v>95220216</v>
      </c>
      <c r="BQ147" s="20">
        <f>SUMIF($E$4:$E$141,"211",$BQ$4:$BQ$141)</f>
        <v>0</v>
      </c>
      <c r="BR147" s="20">
        <f>SUMIF($E$4:$E$141,"211",$BR$4:$BR$141)</f>
        <v>5000000</v>
      </c>
      <c r="BS147" s="20">
        <f>SUMIF($E$4:$E$141,"211",$BS$4:$BS$141)</f>
        <v>83645740</v>
      </c>
      <c r="BT147" s="20">
        <f>SUMIF($E$4:$E$141,"211",$BT$4:$BT$141)</f>
        <v>0</v>
      </c>
      <c r="BU147" s="20">
        <f>SUMIF($E$4:$E$141,"211",$BU$4:$BU$141)</f>
        <v>0</v>
      </c>
      <c r="BV147" s="20">
        <f>SUMIF($E$4:$E$141,"211",$BV$4:$BV$141)</f>
        <v>6316247</v>
      </c>
      <c r="BW147" s="20">
        <f>SUMIF($E$4:$E$141,"211",$BW$4:$BW$141)</f>
        <v>7716945</v>
      </c>
      <c r="BX147" s="20">
        <f>SUMIF($E$4:$E$141,"211",$BX$4:$BX$141)</f>
        <v>0</v>
      </c>
      <c r="BY147" s="20">
        <f>SUMIF($E$4:$E$141,"211",$BY$4:$BY$141)</f>
        <v>0</v>
      </c>
      <c r="BZ147" s="20">
        <f>SUMIF($E$4:$E$141,"211",$BZ$4:$BZ$141)</f>
        <v>0</v>
      </c>
      <c r="CA147" s="20">
        <f>SUMIF($E$4:$E$141,"211",$CA$4:$CA$141)</f>
        <v>72061366</v>
      </c>
      <c r="CB147" s="26">
        <f>SUMIF($E$4:$E$141,"211",$CB$4:$CB$141)</f>
        <v>189954848</v>
      </c>
      <c r="CC147" s="25">
        <f t="shared" si="395"/>
        <v>0.51054136310802056</v>
      </c>
      <c r="CD147" s="35">
        <f t="shared" si="396"/>
        <v>4091881515</v>
      </c>
      <c r="CE147" s="24">
        <f>SUMIF($E$4:$E$141,"211",$CE$4:$CE$141)</f>
        <v>0</v>
      </c>
      <c r="CF147" s="24">
        <f>SUMIF($E$4:$E$141,"211",$CF$4:$CF$141)</f>
        <v>258340123</v>
      </c>
      <c r="CG147" s="24">
        <f>SUMIF($E$4:$E$141,"211",$CG$4:$CG$141)</f>
        <v>0</v>
      </c>
      <c r="CH147" s="24">
        <f>SUMIF($E$4:$E$141,"211",$CH$4:$CH$141)</f>
        <v>0</v>
      </c>
      <c r="CI147" s="24">
        <f>SUMIF($E$4:$E$141,"211",$CI$4:$CI$141)</f>
        <v>0</v>
      </c>
      <c r="CJ147" s="24">
        <f>SUMIF($E$4:$E$141,"211",$CJ$4:$CJ$141)</f>
        <v>0</v>
      </c>
      <c r="CK147" s="24">
        <f>SUMIF($E$4:$E$141,"211",$CK$4:$CK$141)</f>
        <v>236438964</v>
      </c>
      <c r="CL147" s="24">
        <f>SUMIF($E$4:$E$141,"211",$CL$4:$CL$141)</f>
        <v>1415873566</v>
      </c>
      <c r="CM147" s="24">
        <f>SUMIF($E$4:$E$141,"211",$CM$4:$CM$141)</f>
        <v>187193274</v>
      </c>
      <c r="CN147" s="24">
        <f>SUMIF($E$4:$E$141,"211",$CN$4:$CN$141)</f>
        <v>92883592</v>
      </c>
      <c r="CO147" s="24">
        <f>SUMIF($E$4:$E$141,"211",$CO$4:$CO$141)</f>
        <v>41135657</v>
      </c>
      <c r="CP147" s="24">
        <f>SUMIF($E$4:$E$141,"211",$CP$4:$CP$141)</f>
        <v>0</v>
      </c>
      <c r="CQ147" s="24">
        <f>SUMIF($E$4:$E$141,"211",$CQ$4:$CQ$141)</f>
        <v>0</v>
      </c>
      <c r="CR147" s="24">
        <f>SUMIF($E$4:$E$141,"211",$CR$4:$CR$141)</f>
        <v>0</v>
      </c>
      <c r="CS147" s="24">
        <f>SUMIF($E$4:$E$141,"211",$CS$4:$CS$141)</f>
        <v>20000000</v>
      </c>
      <c r="CT147" s="24">
        <f>SUMIF($E$4:$E$141,"211",$CT$4:$CT$141)</f>
        <v>56408945</v>
      </c>
      <c r="CU147" s="24">
        <f>SUMIF($E$4:$E$141,"211",$CU$4:$CU$141)</f>
        <v>314411289</v>
      </c>
      <c r="CV147" s="24">
        <f>SUMIF($E$4:$E$141,"211",$CV$4:$CV$141)</f>
        <v>803275063</v>
      </c>
      <c r="CW147" s="24">
        <f>SUMIF($E$4:$E$141,"211",$CW$4:$CW$141)</f>
        <v>106710000</v>
      </c>
      <c r="CX147" s="24">
        <f>SUMIF($E$4:$E$141,"211",$CX$4:$CX$141)</f>
        <v>0</v>
      </c>
      <c r="CY147" s="24">
        <f>SUMIF($E$4:$E$141,"211",$CY$4:$CY$141)</f>
        <v>0</v>
      </c>
      <c r="CZ147" s="24">
        <f>SUMIF($E$4:$E$141,"211",$CZ$4:$CZ$141)</f>
        <v>144299911</v>
      </c>
      <c r="DA147" s="23">
        <f>SUMIF($E$4:$E$141,"211",$DA$4:$DA$141)</f>
        <v>414911131</v>
      </c>
      <c r="DB147" s="22">
        <f t="shared" si="397"/>
        <v>0.48945863689197944</v>
      </c>
      <c r="DC147" s="21">
        <f t="shared" ca="1" si="398"/>
        <v>3922907904</v>
      </c>
      <c r="DD147" s="20">
        <f ca="1">SUMIF($E$4:$E$142,"211",$DD$4:$DD$141)</f>
        <v>0</v>
      </c>
      <c r="DE147" s="20">
        <f>SUMIF($E$4:$E$141,"211",$DE$4:$DE$141)</f>
        <v>5000002</v>
      </c>
      <c r="DF147" s="20">
        <f>SUMIF($E$4:$E$141,"211",$DF$4:$DF$141)</f>
        <v>0</v>
      </c>
      <c r="DG147" s="20">
        <f>SUMIF($E$4:$E$141,"211",$DG$4:$DG$141)</f>
        <v>1216000000</v>
      </c>
      <c r="DH147" s="20">
        <f>SUMIF($E$4:$E$141,"211",$DH$4:$DH$141)</f>
        <v>0</v>
      </c>
      <c r="DI147" s="20">
        <f>SUMIF($E$4:$E$141,"211",$DI$4:$DI$141)</f>
        <v>0</v>
      </c>
      <c r="DJ147" s="20">
        <f>SUMIF($E$4:$E$141,"211",$DJ$4:$DJ$141)</f>
        <v>7657442</v>
      </c>
      <c r="DK147" s="20">
        <f>SUMIF($E$4:$E$141,"211",$DK$4:$DK$141)</f>
        <v>490912071</v>
      </c>
      <c r="DL147" s="20">
        <f>SUMIF($E$4:$E$141,"211",$DL$4:$DL$141)</f>
        <v>522437044</v>
      </c>
      <c r="DM147" s="20">
        <f>SUMIF($E$4:$E$141,"211",$DM$4:$DM$141)</f>
        <v>456916708</v>
      </c>
      <c r="DN147" s="19">
        <f>SUMIF($E$4:$E$141,"211",$DN$4:$DN$141)</f>
        <v>129650838</v>
      </c>
      <c r="DO147" s="19">
        <f>SUMIF($E$4:$E$141,"211",$DO$4:$DO$141)</f>
        <v>0</v>
      </c>
      <c r="DP147" s="19">
        <f>SUMIF($E$4:$E$141,"211",$DP$4:$DP$141)</f>
        <v>50000000</v>
      </c>
      <c r="DQ147" s="19">
        <f>SUMIF($E$4:$E$141,"211",$DQ$4:$DQ$141)</f>
        <v>112491556</v>
      </c>
      <c r="DR147" s="19">
        <f>SUMIF($E$4:$E$141,"211",$DR$4:$DR$141)</f>
        <v>152130178</v>
      </c>
      <c r="DS147" s="19">
        <f>SUMIF($E$4:$E$141,"211",$DS$4:$DS$141)</f>
        <v>23591055</v>
      </c>
      <c r="DT147" s="19">
        <f>SUMIF($E$4:$E$141,"211",$DT$4:$DT$141)</f>
        <v>33395324</v>
      </c>
      <c r="DU147" s="19">
        <f>SUMIF($E$4:$E$141,"211",$DU$4:$DU$141)</f>
        <v>9324937</v>
      </c>
      <c r="DV147" s="19">
        <f>SUMIF($E$4:$E$141,"211",$DV$4:$DV$141)</f>
        <v>103468916</v>
      </c>
      <c r="DW147" s="19">
        <f>SUMIF($E$4:$E$141,"211",$DW$4:$DW$141)</f>
        <v>0</v>
      </c>
      <c r="DX147" s="19">
        <f>SUMIF($E$4:$E$141,"211",$DX$4:$DX$141)</f>
        <v>0</v>
      </c>
      <c r="DY147" s="19">
        <f>SUMIF($E$4:$E$141,"211",$DY$4:$DY$141)</f>
        <v>96724339</v>
      </c>
      <c r="DZ147" s="19">
        <f>SUMIF($E$4:$E$141,"211",$DZ$4:$DZ$141)</f>
        <v>513207494</v>
      </c>
      <c r="EB147" s="9">
        <f t="shared" si="399"/>
        <v>8014789419</v>
      </c>
      <c r="EC147" s="9">
        <f t="shared" si="400"/>
        <v>8014789419</v>
      </c>
      <c r="ED147" s="9">
        <f t="shared" ca="1" si="401"/>
        <v>8014789419</v>
      </c>
    </row>
    <row r="148" spans="3:136" ht="18" customHeight="1" x14ac:dyDescent="0.3">
      <c r="C148" s="36"/>
      <c r="D148" s="32" t="s">
        <v>16</v>
      </c>
      <c r="E148" s="37">
        <v>301</v>
      </c>
      <c r="F148" s="29"/>
      <c r="G148" s="24">
        <f>SUMIF($E$4:$E$141,"301",$G$4:$G$141)</f>
        <v>3687641610</v>
      </c>
      <c r="H148" s="30">
        <f>SUMIF($E$4:$E$142,"301",$H$4:$H$142)</f>
        <v>444106222</v>
      </c>
      <c r="I148" s="30">
        <f>SUMIF($E$4:$E$142,"301",$I$4:$I$142)</f>
        <v>180000000</v>
      </c>
      <c r="J148" s="30">
        <f>SUMIF($E$4:$E$142,"301",$J$4:$J$142)</f>
        <v>0</v>
      </c>
      <c r="K148" s="30">
        <f>SUMIF($E$4:$E$142,"301",$K$4:$K$142)</f>
        <v>681816144</v>
      </c>
      <c r="L148" s="24">
        <f>SUMIF($E$4:$E$141,"301",$L$4:$L$141)</f>
        <v>0</v>
      </c>
      <c r="M148" s="29">
        <f>SUMIF($E$4:$E$141,"301",$M$4:$M$141)</f>
        <v>208000000</v>
      </c>
      <c r="N148" s="29">
        <f>SUMIF($E$4:$E$141,"301",$N$4:$N$141)</f>
        <v>0</v>
      </c>
      <c r="O148" s="29">
        <f>SUMIF($E$4:$E$141,"301",$O$4:$O$141)</f>
        <v>0</v>
      </c>
      <c r="P148" s="29">
        <f>SUMIF($E$4:$E$141,"301",$P$4:$P$141)</f>
        <v>0</v>
      </c>
      <c r="Q148" s="29">
        <f>SUMIF($E$4:$E$141,"301",$Q$4:$Q$141)</f>
        <v>0</v>
      </c>
      <c r="R148" s="29">
        <f>SUMIF($E$4:$E$141,"301",$R$4:$R$141)</f>
        <v>0</v>
      </c>
      <c r="S148" s="29">
        <f>SUMIF($E$4:$E$141,"301",$S$4:$S$141)</f>
        <v>0</v>
      </c>
      <c r="T148" s="29">
        <f>SUMIF($E$4:$E$141,"301",$T$4:$T$141)</f>
        <v>0</v>
      </c>
      <c r="U148" s="29">
        <f>SUMIF($E$4:$E$141,"301",$U$4:$U$141)</f>
        <v>0</v>
      </c>
      <c r="V148" s="29">
        <f>SUMIF($E$4:$E$141,"301",$V$4:$V$141)</f>
        <v>0</v>
      </c>
      <c r="W148" s="29">
        <f>SUMIF($E$4:$E$141,"301",$W$4:$W$141)</f>
        <v>0</v>
      </c>
      <c r="X148" s="29">
        <f>SUMIF($E$4:$E$141,"301",$X$4:$X$141)</f>
        <v>100000000</v>
      </c>
      <c r="Y148" s="29">
        <f>SUMIF($E$4:$E$141,"301",$Y$4:$Y$141)</f>
        <v>32712008</v>
      </c>
      <c r="Z148" s="29">
        <f>SUMIF($E$4:$E$141,"301",$Z$4:$Z$141)</f>
        <v>114788955</v>
      </c>
      <c r="AA148" s="29">
        <f>SUMIF($E$4:$E$141,"301",$AA$4:$AA$141)</f>
        <v>1770728185</v>
      </c>
      <c r="AB148" s="29"/>
      <c r="AC148" s="29">
        <f>SUMIF($E$4:$E$141,"301",$AC$4:$AC$141)</f>
        <v>0</v>
      </c>
      <c r="AD148" s="29">
        <f>SUMIF($E$4:$E$141,"301",$AD$4:$AD$141)</f>
        <v>155490096</v>
      </c>
      <c r="AE148" s="28">
        <f t="shared" si="392"/>
        <v>0.98417319084323929</v>
      </c>
      <c r="AF148" s="24">
        <f>SUMIF($E$4:$E$141,"301",$AF$4:$AF$141)</f>
        <v>3629278010</v>
      </c>
      <c r="AG148" s="24">
        <f>SUMIF($E$4:$E$141,"301",$AG$4:$AG$141)</f>
        <v>444103222</v>
      </c>
      <c r="AH148" s="24">
        <f>SUMIF($E$4:$E$141,"301",$AH$4:$AH$141)</f>
        <v>180000000</v>
      </c>
      <c r="AI148" s="24">
        <f>SUMIF($E$4:$E$141,"301",$AI$4:$AI$141)</f>
        <v>0</v>
      </c>
      <c r="AJ148" s="24">
        <f>SUMIF($E$4:$E$141,"301",$AJ$4:$AJ$141)</f>
        <v>681816144</v>
      </c>
      <c r="AK148" s="24">
        <f>SUMIF($E$4:$E$141,"301",$AK$4:$AK$141)</f>
        <v>0</v>
      </c>
      <c r="AL148" s="24">
        <f>SUMIF($E$4:$E$141,"301",$AL$4:$AL$141)</f>
        <v>208000000</v>
      </c>
      <c r="AM148" s="24">
        <f>SUMIF($E$4:$E$141,"301",$AM$4:$AM$141)</f>
        <v>0</v>
      </c>
      <c r="AN148" s="24">
        <f>SUMIF($E$4:$E$141,"301",$AN$4:$AN$141)</f>
        <v>0</v>
      </c>
      <c r="AO148" s="24">
        <f>SUMIF($E$4:$E$141,"301",$AO$4:$AO$141)</f>
        <v>0</v>
      </c>
      <c r="AP148" s="24">
        <f>SUMIF($E$4:$E$141,"301",$AP$4:$AP$141)</f>
        <v>0</v>
      </c>
      <c r="AQ148" s="24">
        <f>SUMIF($E$4:$E$141,"301",$AQ$4:$AQ$141)</f>
        <v>0</v>
      </c>
      <c r="AR148" s="24">
        <f>SUMIF($E$4:$E$141,"301",$AR$4:$AR$141)</f>
        <v>0</v>
      </c>
      <c r="AS148" s="24">
        <f>SUMIF($E$4:$E$141,"301",$AS$4:$AS$141)</f>
        <v>0</v>
      </c>
      <c r="AT148" s="24">
        <f>SUMIF($E$4:$E$141,"301",$AT$4:$AT$141)</f>
        <v>0</v>
      </c>
      <c r="AU148" s="24">
        <f>SUMIF($E$4:$E$141,"301",$AU$4:$AU$141)</f>
        <v>0</v>
      </c>
      <c r="AV148" s="24">
        <f>SUMIF($E$4:$E$141,"301",$AV$4:$AV$141)</f>
        <v>0</v>
      </c>
      <c r="AW148" s="24">
        <f>SUMIF($E$4:$E$141,"301",$AW$4:$AW$141)</f>
        <v>99046000</v>
      </c>
      <c r="AX148" s="24">
        <f>SUMIF($E$4:$E$141,"301",$AX$4:$AX$141)</f>
        <v>32712008</v>
      </c>
      <c r="AY148" s="24">
        <f>SUMIF($E$4:$E$141,"301",$AY$4:$AY$141)</f>
        <v>113788955</v>
      </c>
      <c r="AZ148" s="24">
        <f>SUMIF($E$4:$E$141,"301",$AZ$4:$AZ$141)</f>
        <v>1770547588</v>
      </c>
      <c r="BA148" s="24">
        <f>SUMIF($E$4:$E$141,"301",$BA$4:$BA$141)</f>
        <v>0</v>
      </c>
      <c r="BB148" s="24">
        <f>SUMIF($E$4:$E$141,"301",$BB$4:$BB$141)</f>
        <v>0</v>
      </c>
      <c r="BC148" s="24">
        <f>SUMIF($E$4:$E$141,"301",$BC$4:$BC$141)</f>
        <v>99264093</v>
      </c>
      <c r="BD148" s="27">
        <f t="shared" si="393"/>
        <v>1.5826809156760713E-2</v>
      </c>
      <c r="BE148" s="21">
        <f t="shared" si="394"/>
        <v>58363600</v>
      </c>
      <c r="BF148" s="20">
        <f>SUMIF($E$4:$E$141,"301",$BF$4:$BF$141)</f>
        <v>3000</v>
      </c>
      <c r="BG148" s="20">
        <f>SUMIF($E$4:$E$141,"301",$BG$4:$BG$141)</f>
        <v>0</v>
      </c>
      <c r="BH148" s="20">
        <f>SUMIF($E$4:$E$141,"301",$BH$4:$BH$141)</f>
        <v>0</v>
      </c>
      <c r="BI148" s="20">
        <f>SUMIF($E$4:$E$141,"301",$BI$4:$BI$141)</f>
        <v>0</v>
      </c>
      <c r="BJ148" s="20">
        <f>SUMIF($E$4:$E$141,"301",$BJ$4:$BJ$141)</f>
        <v>0</v>
      </c>
      <c r="BK148" s="20">
        <f>SUMIF($E$4:$E$141,"301",$BK$4:$BK$141)</f>
        <v>0</v>
      </c>
      <c r="BL148" s="20">
        <f>SUMIF($E$4:$E$141,"301",$BL$4:$BL$141)</f>
        <v>0</v>
      </c>
      <c r="BM148" s="20">
        <f>SUMIF($E$4:$E$141,"301",$BM$4:$BM$141)</f>
        <v>0</v>
      </c>
      <c r="BN148" s="20">
        <f>SUMIF($E$4:$E$141,"301",$BN$4:$BN$141)</f>
        <v>0</v>
      </c>
      <c r="BO148" s="20">
        <f>SUMIF($E$4:$E$141,"301",$BO$4:$BO$141)</f>
        <v>0</v>
      </c>
      <c r="BP148" s="20">
        <f>SUMIF($E$4:$E$141,"301",$BP$4:$BP$141)</f>
        <v>0</v>
      </c>
      <c r="BQ148" s="20">
        <f>SUMIF($E$4:$E$141,"301",$BQ$4:$BQ$141)</f>
        <v>0</v>
      </c>
      <c r="BR148" s="20">
        <f>SUMIF($E$4:$E$141,"301",$BR$4:$BR$141)</f>
        <v>0</v>
      </c>
      <c r="BS148" s="20">
        <f>SUMIF($E$4:$E$141,"301",$BS$4:$BS$141)</f>
        <v>0</v>
      </c>
      <c r="BT148" s="20">
        <f>SUMIF($E$4:$E$141,"301",$BT$4:$BT$141)</f>
        <v>0</v>
      </c>
      <c r="BU148" s="20">
        <f>SUMIF($E$4:$E$141,"301",$BU$4:$BU$141)</f>
        <v>0</v>
      </c>
      <c r="BV148" s="20">
        <f>SUMIF($E$4:$E$141,"301",$BV$4:$BV$141)</f>
        <v>954000</v>
      </c>
      <c r="BW148" s="20">
        <f>SUMIF($E$4:$E$141,"301",$BW$4:$BW$141)</f>
        <v>0</v>
      </c>
      <c r="BX148" s="20">
        <f>SUMIF($E$4:$E$141,"301",$BX$4:$BX$141)</f>
        <v>1000000</v>
      </c>
      <c r="BY148" s="20">
        <f>SUMIF($E$4:$E$141,"301",$BY$4:$BY$141)</f>
        <v>180597</v>
      </c>
      <c r="BZ148" s="20">
        <f>SUMIF($E$4:$E$141,"301",$BZ$4:$BZ$141)</f>
        <v>0</v>
      </c>
      <c r="CA148" s="20">
        <f>SUMIF($E$4:$E$141,"301",$CA$4:$CA$141)</f>
        <v>0</v>
      </c>
      <c r="CB148" s="26">
        <f>SUMIF($E$4:$E$141,"301",$CB$4:$CB$141)</f>
        <v>56226003</v>
      </c>
      <c r="CC148" s="25">
        <f t="shared" si="395"/>
        <v>0.78081371687309931</v>
      </c>
      <c r="CD148" s="35">
        <f t="shared" si="396"/>
        <v>2879361152</v>
      </c>
      <c r="CE148" s="24">
        <f>SUMIF($E$4:$E$141,"301",$CE$4:$CE$141)</f>
        <v>442882518</v>
      </c>
      <c r="CF148" s="24">
        <f>SUMIF($E$4:$E$141,"301",$CF$4:$CF$141)</f>
        <v>170103390</v>
      </c>
      <c r="CG148" s="24">
        <f>SUMIF($E$4:$E$141,"301",$CG$4:$CG$141)</f>
        <v>0</v>
      </c>
      <c r="CH148" s="24">
        <f>SUMIF($E$4:$E$141,"301",$CH$4:$CH$141)</f>
        <v>108959308</v>
      </c>
      <c r="CI148" s="24">
        <f>SUMIF($E$4:$E$141,"301",$CI$4:$CI$141)</f>
        <v>0</v>
      </c>
      <c r="CJ148" s="24">
        <f>SUMIF($E$4:$E$141,"301",$CJ$4:$CJ$141)</f>
        <v>205876669</v>
      </c>
      <c r="CK148" s="24">
        <f>SUMIF($E$4:$E$141,"301",$CK$4:$CK$141)</f>
        <v>0</v>
      </c>
      <c r="CL148" s="24">
        <f>SUMIF($E$4:$E$141,"301",$CL$4:$CL$141)</f>
        <v>0</v>
      </c>
      <c r="CM148" s="24">
        <f>SUMIF($E$4:$E$141,"301",$CM$4:$CM$141)</f>
        <v>0</v>
      </c>
      <c r="CN148" s="24">
        <f>SUMIF($E$4:$E$141,"301",$CN$4:$CN$141)</f>
        <v>0</v>
      </c>
      <c r="CO148" s="24">
        <f>SUMIF($E$4:$E$141,"301",$CO$4:$CO$141)</f>
        <v>0</v>
      </c>
      <c r="CP148" s="24">
        <f>SUMIF($E$4:$E$141,"301",$CP$4:$CP$141)</f>
        <v>0</v>
      </c>
      <c r="CQ148" s="24">
        <f>SUMIF($E$4:$E$141,"301",$CQ$4:$CQ$141)</f>
        <v>0</v>
      </c>
      <c r="CR148" s="24">
        <f>SUMIF($E$4:$E$141,"301",$CR$4:$CR$141)</f>
        <v>0</v>
      </c>
      <c r="CS148" s="24">
        <f>SUMIF($E$4:$E$141,"301",$CS$4:$CS$141)</f>
        <v>0</v>
      </c>
      <c r="CT148" s="24">
        <f>SUMIF($E$4:$E$141,"301",$CT$4:$CT$141)</f>
        <v>0</v>
      </c>
      <c r="CU148" s="24">
        <f>SUMIF($E$4:$E$141,"301",$CU$4:$CU$141)</f>
        <v>96846000</v>
      </c>
      <c r="CV148" s="24">
        <f>SUMIF($E$4:$E$141,"301",$CV$4:$CV$141)</f>
        <v>27246666</v>
      </c>
      <c r="CW148" s="24">
        <f>SUMIF($E$4:$E$141,"301",$CW$4:$CW$141)</f>
        <v>50941940</v>
      </c>
      <c r="CX148" s="24">
        <f>SUMIF($E$4:$E$141,"301",$CX$4:$CX$141)</f>
        <v>1694221856</v>
      </c>
      <c r="CY148" s="24">
        <f>SUMIF($E$4:$E$141,"301",$CY$4:$CY$141)</f>
        <v>0</v>
      </c>
      <c r="CZ148" s="24">
        <f>SUMIF($E$4:$E$141,"301",$CZ$4:$CZ$141)</f>
        <v>0</v>
      </c>
      <c r="DA148" s="23">
        <f>SUMIF($E$4:$E$141,"301",$DA$4:$DA$141)</f>
        <v>82282805</v>
      </c>
      <c r="DB148" s="22">
        <f t="shared" si="397"/>
        <v>0.21918628312690069</v>
      </c>
      <c r="DC148" s="21">
        <f t="shared" ca="1" si="398"/>
        <v>808280458</v>
      </c>
      <c r="DD148" s="20">
        <f ca="1">SUMIF($E$4:$E$142,"301",$DD$4:$DD$141)</f>
        <v>1223704</v>
      </c>
      <c r="DE148" s="20">
        <f>SUMIF($E$4:$E$141,"301",$DE$4:$DE$141)</f>
        <v>9896610</v>
      </c>
      <c r="DF148" s="20">
        <f>SUMIF($E$4:$E$141,"301",$DF$4:$DF$141)</f>
        <v>0</v>
      </c>
      <c r="DG148" s="20">
        <f>SUMIF($E$4:$E$141,"301",$DG$4:$DG$141)</f>
        <v>572856836</v>
      </c>
      <c r="DH148" s="20">
        <f>SUMIF($E$4:$E$141,"301",$DH$4:$DH$141)</f>
        <v>0</v>
      </c>
      <c r="DI148" s="20">
        <f>SUMIF($E$4:$E$141,"301",$DI$4:$DI$141)</f>
        <v>2123331</v>
      </c>
      <c r="DJ148" s="20">
        <f>SUMIF($E$4:$E$141,"301",$DJ$4:$DJ$141)</f>
        <v>0</v>
      </c>
      <c r="DK148" s="20">
        <f>SUMIF($E$4:$E$141,"301",$DK$4:$DK$141)</f>
        <v>0</v>
      </c>
      <c r="DL148" s="20">
        <f>SUMIF($E$4:$E$141,"301",$DL$4:$DL$141)</f>
        <v>0</v>
      </c>
      <c r="DM148" s="20">
        <f>SUMIF($E$4:$E$141,"301",$DM$4:$DM$141)</f>
        <v>0</v>
      </c>
      <c r="DN148" s="19">
        <f>SUMIF($E$4:$E$141,"301",$DN$4:$DN$141)</f>
        <v>0</v>
      </c>
      <c r="DO148" s="19">
        <f>SUMIF($E$4:$E$141,"301",$DO$4:$DO$141)</f>
        <v>0</v>
      </c>
      <c r="DP148" s="19">
        <f>SUMIF($E$4:$E$141,"301",$DP$4:$DP$141)</f>
        <v>0</v>
      </c>
      <c r="DQ148" s="19">
        <f>SUMIF($E$4:$E$141,"301",$DQ$4:$DQ$141)</f>
        <v>0</v>
      </c>
      <c r="DR148" s="19">
        <f>SUMIF($E$4:$E$141,"301",$DR$4:$DR$141)</f>
        <v>0</v>
      </c>
      <c r="DS148" s="19">
        <f>SUMIF($E$4:$E$141,"301",$DS$4:$DS$141)</f>
        <v>0</v>
      </c>
      <c r="DT148" s="19">
        <f>SUMIF($E$4:$E$141,"301",$DT$4:$DT$141)</f>
        <v>3154000</v>
      </c>
      <c r="DU148" s="19">
        <f>SUMIF($E$4:$E$141,"301",$DU$4:$DU$141)</f>
        <v>5465342</v>
      </c>
      <c r="DV148" s="19">
        <f>SUMIF($E$4:$E$141,"301",$DV$4:$DV$141)</f>
        <v>63847015</v>
      </c>
      <c r="DW148" s="19">
        <f>SUMIF($E$4:$E$141,"301",$DW$4:$DW$141)</f>
        <v>76506329</v>
      </c>
      <c r="DX148" s="19">
        <f>SUMIF($E$4:$E$141,"301",$DX$4:$DX$141)</f>
        <v>0</v>
      </c>
      <c r="DY148" s="19">
        <f>SUMIF($E$4:$E$141,"301",$DY$4:$DY$141)</f>
        <v>0</v>
      </c>
      <c r="DZ148" s="19">
        <f>SUMIF($E$4:$E$141,"301",$DZ$4:$DZ$141)</f>
        <v>73207291</v>
      </c>
      <c r="EB148" s="9">
        <f t="shared" si="399"/>
        <v>3687641610</v>
      </c>
      <c r="EC148" s="9">
        <f t="shared" si="400"/>
        <v>3687641610</v>
      </c>
      <c r="ED148" s="9">
        <f t="shared" ca="1" si="401"/>
        <v>3687641610</v>
      </c>
    </row>
    <row r="149" spans="3:136" ht="16.5" customHeight="1" x14ac:dyDescent="0.3">
      <c r="C149" s="36"/>
      <c r="D149" s="32" t="s">
        <v>15</v>
      </c>
      <c r="E149" s="31">
        <v>310</v>
      </c>
      <c r="F149" s="29"/>
      <c r="G149" s="24">
        <f>SUMIF($E$4:$E$141,"310",$G$4:$G$141)</f>
        <v>1076000000</v>
      </c>
      <c r="H149" s="30">
        <f>SUMIF($E$4:$E$141,"310",$H$4:$H$141)</f>
        <v>0</v>
      </c>
      <c r="I149" s="30">
        <f>SUMIF($E$4:$E$141,"310",$I$4:$I$141)</f>
        <v>540000000</v>
      </c>
      <c r="J149" s="30">
        <f>SUMIF($E$4:$E$142,"310",$J$4:$J$142)</f>
        <v>0</v>
      </c>
      <c r="K149" s="30">
        <f>SUMIF($E$4:$E$142,"310",$K$4:$K$142)</f>
        <v>300000000</v>
      </c>
      <c r="L149" s="24">
        <f>SUMIF($E$4:$E$141,"310",$L$4:$L$141)</f>
        <v>0</v>
      </c>
      <c r="M149" s="29">
        <f>SUMIF($E$4:$E$141,"310",$M$4:$M$141)</f>
        <v>0</v>
      </c>
      <c r="N149" s="29">
        <f>SUMIF($E$4:$E$141,"310",$N$4:$N$141)</f>
        <v>0</v>
      </c>
      <c r="O149" s="29">
        <f>SUMIF($E$4:$E$141,"310",$O$4:$O$141)</f>
        <v>0</v>
      </c>
      <c r="P149" s="29">
        <f>SUMIF($E$4:$E$141,"310",$P$4:$P$141)</f>
        <v>0</v>
      </c>
      <c r="Q149" s="29">
        <f>SUMIF($E$4:$E$141,"310",$Q$4:$Q$141)</f>
        <v>0</v>
      </c>
      <c r="R149" s="29">
        <f>SUMIF($E$4:$E$141,"310",$R$4:$R$141)</f>
        <v>0</v>
      </c>
      <c r="S149" s="29">
        <f>SUMIF($E$4:$E$141,"310",$S$4:$S$141)</f>
        <v>0</v>
      </c>
      <c r="T149" s="29">
        <f>SUMIF($E$4:$E$141,"310",$T$4:$T$141)</f>
        <v>0</v>
      </c>
      <c r="U149" s="29">
        <f>SUMIF($E$4:$E$141,"310",$U$4:$U$141)</f>
        <v>0</v>
      </c>
      <c r="V149" s="29">
        <f>SUMIF($E$4:$E$141,"310",$V$4:$V$141)</f>
        <v>0</v>
      </c>
      <c r="W149" s="29">
        <f>SUMIF($E$4:$E$141,"310",$W$4:$W$141)</f>
        <v>0</v>
      </c>
      <c r="X149" s="29">
        <f>SUMIF($E$4:$E$141,"310",$X$4:$X$141)</f>
        <v>76000000</v>
      </c>
      <c r="Y149" s="29">
        <f>SUMIF($E$4:$E$141,"310",$Y$4:$Y$141)</f>
        <v>54000000</v>
      </c>
      <c r="Z149" s="29">
        <f>SUMIF($E$4:$E$141,"310",$Z$4:$Z$141)</f>
        <v>0</v>
      </c>
      <c r="AA149" s="29">
        <f>SUMIF($E$4:$E$130,"310",$AA$4:$AA$130)</f>
        <v>0</v>
      </c>
      <c r="AB149" s="29"/>
      <c r="AC149" s="29">
        <f>SUMIF($E$4:$E$141,"310",$AC$4:$AC$141)</f>
        <v>0</v>
      </c>
      <c r="AD149" s="29">
        <f>SUMIF($E$4:$E$141,"310",$AD$4:$AD$141)</f>
        <v>106000000</v>
      </c>
      <c r="AE149" s="28">
        <f t="shared" si="392"/>
        <v>0.63451024256505573</v>
      </c>
      <c r="AF149" s="24">
        <f>SUMIF($E$4:$E$141,"310",$AF$4:$AF$141)</f>
        <v>682733021</v>
      </c>
      <c r="AG149" s="24">
        <f>SUMIF($E$4:$E$141,"310",$AG$4:$AG$141)</f>
        <v>0</v>
      </c>
      <c r="AH149" s="24">
        <f>SUMIF($E$4:$E$141,"310",$AH$4:$AH$141)</f>
        <v>535345383</v>
      </c>
      <c r="AI149" s="24">
        <f>SUMIF($E$4:$E$141,"310",$AI$4:$AI$141)</f>
        <v>0</v>
      </c>
      <c r="AJ149" s="24">
        <f>SUMIF($E$4:$E$141,"310",$AJ$4:$AJ$141)</f>
        <v>0</v>
      </c>
      <c r="AK149" s="24">
        <f>SUMIF($E$4:$E$141,"310",$AK$4:$AK$141)</f>
        <v>0</v>
      </c>
      <c r="AL149" s="24">
        <f>SUMIF($E$4:$E$141,"310",$AL$4:$AL$141)</f>
        <v>0</v>
      </c>
      <c r="AM149" s="24">
        <f>SUMIF($E$4:$E$141,"310",$AM$4:$AM$141)</f>
        <v>0</v>
      </c>
      <c r="AN149" s="24">
        <f>SUMIF($E$4:$E$141,"310",$AN$4:$AN$141)</f>
        <v>0</v>
      </c>
      <c r="AO149" s="24">
        <f>SUMIF($E$4:$E$141,"310",$AO$4:$AO$141)</f>
        <v>0</v>
      </c>
      <c r="AP149" s="24">
        <f>SUMIF($E$4:$E$141,"310",$AP$4:$AP$141)</f>
        <v>0</v>
      </c>
      <c r="AQ149" s="24">
        <f>SUMIF($E$4:$E$141,"310",$AQ$4:$AQ$141)</f>
        <v>0</v>
      </c>
      <c r="AR149" s="24">
        <f>SUMIF($E$4:$E$141,"310",$AR$4:$AR$141)</f>
        <v>0</v>
      </c>
      <c r="AS149" s="24">
        <f>SUMIF($E$4:$E$141,"310",$AS$4:$AS$141)</f>
        <v>0</v>
      </c>
      <c r="AT149" s="24">
        <f>SUMIF($E$4:$E$141,"310",$AT$4:$AT$141)</f>
        <v>0</v>
      </c>
      <c r="AU149" s="24">
        <f>SUMIF($E$4:$E$141,"310",$AU$4:$AU$141)</f>
        <v>0</v>
      </c>
      <c r="AV149" s="24">
        <f>SUMIF($E$4:$E$141,"310",$AV$4:$AV$141)</f>
        <v>0</v>
      </c>
      <c r="AW149" s="24">
        <f>SUMIF($E$4:$E$141,"310",$AW$4:$AW$141)</f>
        <v>69170000</v>
      </c>
      <c r="AX149" s="24">
        <f>SUMIF($E$4:$E$141,"310",$AX$4:$AX$141)</f>
        <v>0</v>
      </c>
      <c r="AY149" s="24">
        <f>SUMIF($E$4:$E$141,"310",$AY$4:$AY$141)</f>
        <v>0</v>
      </c>
      <c r="AZ149" s="24">
        <f>SUMIF($E$4:$E$141,"310",$AZ$4:$AZ$141)</f>
        <v>0</v>
      </c>
      <c r="BA149" s="24">
        <f>SUMIF($E$4:$E$141,"310",$BA$4:$BA$141)</f>
        <v>0</v>
      </c>
      <c r="BB149" s="24">
        <f>SUMIF($E$4:$E$141,"310",$BB$4:$BB$141)</f>
        <v>0</v>
      </c>
      <c r="BC149" s="24">
        <f>SUMIF($E$4:$E$141,"310",$BC$4:$BC$141)</f>
        <v>78217638</v>
      </c>
      <c r="BD149" s="27">
        <f t="shared" si="393"/>
        <v>0.36548975743494427</v>
      </c>
      <c r="BE149" s="21">
        <f t="shared" si="394"/>
        <v>393266979</v>
      </c>
      <c r="BF149" s="20">
        <f>SUMIF($E$4:$E$141,"310",$BF$4:$BF$141)</f>
        <v>0</v>
      </c>
      <c r="BG149" s="20">
        <f>SUMIF($E$4:$E$141,"310",$BG$4:$BG$141)</f>
        <v>4654617</v>
      </c>
      <c r="BH149" s="20">
        <f>SUMIF($E$4:$E$141,"310",$BH$4:$BH$141)</f>
        <v>0</v>
      </c>
      <c r="BI149" s="20">
        <f>SUMIF($E$4:$E$141,"310",$BI$4:$BI$141)</f>
        <v>300000000</v>
      </c>
      <c r="BJ149" s="20">
        <f>SUMIF($E$4:$E$141,"310",$BJ$4:$BJ$141)</f>
        <v>0</v>
      </c>
      <c r="BK149" s="20">
        <f>SUMIF($E$4:$E$141,"310",$BK$4:$BK$141)</f>
        <v>0</v>
      </c>
      <c r="BL149" s="20">
        <f>SUMIF($E$4:$E$141,"310",$BL$4:$BL$141)</f>
        <v>0</v>
      </c>
      <c r="BM149" s="20">
        <f>SUMIF($E$4:$E$141,"310",$BM$4:$BM$141)</f>
        <v>0</v>
      </c>
      <c r="BN149" s="20">
        <f>SUMIF($E$4:$E$141,"310",$BN$4:$BN$141)</f>
        <v>0</v>
      </c>
      <c r="BO149" s="20">
        <f>SUMIF($E$4:$E$141,"310",$BO$4:$BO$141)</f>
        <v>0</v>
      </c>
      <c r="BP149" s="20">
        <f>SUMIF($E$4:$E$141,"310",$BP$4:$BP$141)</f>
        <v>0</v>
      </c>
      <c r="BQ149" s="20">
        <f>SUMIF($E$4:$E$141,"310",$BQ$4:$BQ$141)</f>
        <v>0</v>
      </c>
      <c r="BR149" s="20">
        <f>SUMIF($E$4:$E$141,"310",$BR$4:$BR$141)</f>
        <v>0</v>
      </c>
      <c r="BS149" s="20">
        <f>SUMIF($E$4:$E$141,"310",$BS$4:$BS$141)</f>
        <v>0</v>
      </c>
      <c r="BT149" s="20">
        <f>SUMIF($E$4:$E$141,"310",$BT$4:$BT$141)</f>
        <v>0</v>
      </c>
      <c r="BU149" s="20">
        <f>SUMIF($E$4:$E$141,"310",$BU$4:$BU$141)</f>
        <v>0</v>
      </c>
      <c r="BV149" s="20">
        <f>SUMIF($E$4:$E$141,"310",$BV$4:$BV$141)</f>
        <v>6830000</v>
      </c>
      <c r="BW149" s="20">
        <f>SUMIF($E$4:$E$141,"310",$BW$4:$BW$141)</f>
        <v>54000000</v>
      </c>
      <c r="BX149" s="20">
        <f>SUMIF($E$4:$E$141,"310",$BX$4:$BX$141)</f>
        <v>0</v>
      </c>
      <c r="BY149" s="20">
        <f>SUMIF($E$4:$E$141,"310",$BY$4:$BY$141)</f>
        <v>0</v>
      </c>
      <c r="BZ149" s="20">
        <f>SUMIF($E$4:$E$141,"310",$BZ$4:$BZ$141)</f>
        <v>0</v>
      </c>
      <c r="CA149" s="20">
        <f>SUMIF($E$4:$E$141,"310",$CA$4:$CA$141)</f>
        <v>0</v>
      </c>
      <c r="CB149" s="26">
        <f>SUMIF($E$4:$E$141,"310",$CB$4:$CB$141)</f>
        <v>27782362</v>
      </c>
      <c r="CC149" s="25">
        <f t="shared" si="395"/>
        <v>0.5219300371747212</v>
      </c>
      <c r="CD149" s="35">
        <f t="shared" si="396"/>
        <v>561596720</v>
      </c>
      <c r="CE149" s="24">
        <f>SUMIF($E$4:$E$141,"310",$CE$4:$CE$141)</f>
        <v>0</v>
      </c>
      <c r="CF149" s="24">
        <f>SUMIF($E$4:$E$141,"310",$CF$4:$CF$141)</f>
        <v>467140811</v>
      </c>
      <c r="CG149" s="24">
        <f>SUMIF($E$4:$E$141,"310",$CG$4:$CG$141)</f>
        <v>0</v>
      </c>
      <c r="CH149" s="24">
        <f>SUMIF($E$4:$E$141,"310",$CH$4:$CH$141)</f>
        <v>0</v>
      </c>
      <c r="CI149" s="24">
        <f>SUMIF($E$4:$E$141,"310",$CI$4:$CI$141)</f>
        <v>0</v>
      </c>
      <c r="CJ149" s="24">
        <f>SUMIF($E$4:$E$141,"310",$CJ$4:$CJ$141)</f>
        <v>0</v>
      </c>
      <c r="CK149" s="24">
        <f>SUMIF($E$4:$E$141,"310",$CK$4:$CK$141)</f>
        <v>0</v>
      </c>
      <c r="CL149" s="24">
        <f>SUMIF($E$4:$E$141,"310",$CL$4:$CL$141)</f>
        <v>0</v>
      </c>
      <c r="CM149" s="24">
        <f>SUMIF($E$4:$E$141,"310",$CM$4:$CM$141)</f>
        <v>0</v>
      </c>
      <c r="CN149" s="24">
        <f>SUMIF($E$4:$E$141,"310",$CN$4:$CN$141)</f>
        <v>0</v>
      </c>
      <c r="CO149" s="24">
        <f>SUMIF($E$4:$E$141,"310",$CO$4:$CO$141)</f>
        <v>0</v>
      </c>
      <c r="CP149" s="24">
        <f>SUMIF($E$4:$E$141,"310",$CP$4:$CP$141)</f>
        <v>0</v>
      </c>
      <c r="CQ149" s="24">
        <f>SUMIF($E$4:$E$141,"310",$CQ$4:$CQ$141)</f>
        <v>0</v>
      </c>
      <c r="CR149" s="24">
        <f>SUMIF($E$4:$E$141,"310",$CR$4:$CR$141)</f>
        <v>0</v>
      </c>
      <c r="CS149" s="24">
        <f>SUMIF($E$4:$E$141,"310",$CS$4:$CS$141)</f>
        <v>0</v>
      </c>
      <c r="CT149" s="24">
        <f>SUMIF($E$4:$E$141,"310",$CT$4:$CT$141)</f>
        <v>0</v>
      </c>
      <c r="CU149" s="24">
        <f>SUMIF($E$4:$E$141,"310",$CU$4:$CU$141)</f>
        <v>52317749</v>
      </c>
      <c r="CV149" s="24">
        <f>SUMIF($E$4:$E$141,"310",$CV$4:$CV$141)</f>
        <v>0</v>
      </c>
      <c r="CW149" s="24">
        <f>SUMIF($E$4:$E$141,"310",$CW$4:$CW$141)</f>
        <v>0</v>
      </c>
      <c r="CX149" s="24">
        <f>SUMIF($E$4:$E$141,"310",$CX$4:$CX$141)</f>
        <v>0</v>
      </c>
      <c r="CY149" s="24">
        <f>SUMIF($E$4:$E$141,"310",$CY$4:$CY$141)</f>
        <v>0</v>
      </c>
      <c r="CZ149" s="24">
        <f>SUMIF($E$4:$E$141,"310",$CZ$4:$CZ$141)</f>
        <v>0</v>
      </c>
      <c r="DA149" s="23">
        <f>SUMIF($E$4:$E$141,"310",$DA$4:$DA$141)</f>
        <v>42138160</v>
      </c>
      <c r="DB149" s="22">
        <f t="shared" si="397"/>
        <v>0.4780699628252788</v>
      </c>
      <c r="DC149" s="21">
        <f t="shared" si="398"/>
        <v>514403280</v>
      </c>
      <c r="DD149" s="20">
        <f>SUMIF($E$4:$E$141,"310",$DD$4:$DD$141)</f>
        <v>0</v>
      </c>
      <c r="DE149" s="20">
        <f>SUMIF($E$4:$E$141,"310",$DE$4:$DE$141)</f>
        <v>72859189</v>
      </c>
      <c r="DF149" s="20">
        <f>SUMIF($E$4:$E$141,"310",$DF$4:$DF$141)</f>
        <v>0</v>
      </c>
      <c r="DG149" s="20">
        <f>SUMIF($E$4:$E$141,"310",$DG$4:$DG$141)</f>
        <v>300000000</v>
      </c>
      <c r="DH149" s="20">
        <f>SUMIF($E$4:$E$141,"310",$DH$4:$DH$141)</f>
        <v>0</v>
      </c>
      <c r="DI149" s="20">
        <f>SUMIF($E$4:$E$141,"310",$DI$4:$DI$141)</f>
        <v>0</v>
      </c>
      <c r="DJ149" s="20">
        <f>SUMIF($E$4:$E$141,"310",$DJ$4:$DJ$141)</f>
        <v>0</v>
      </c>
      <c r="DK149" s="20">
        <f>SUMIF($E$4:$E$141,"310",$DK$4:$DK$141)</f>
        <v>0</v>
      </c>
      <c r="DL149" s="20">
        <f>SUMIF($E$4:$E$141,"310",$DL$4:$DL$141)</f>
        <v>0</v>
      </c>
      <c r="DM149" s="20">
        <f>SUMIF($E$4:$E$141,"310",$DM$4:$DM$141)</f>
        <v>0</v>
      </c>
      <c r="DN149" s="19">
        <f>SUMIF($E$4:$E$141,"310",$DN$4:$DN$141)</f>
        <v>0</v>
      </c>
      <c r="DO149" s="19">
        <f>SUMIF($E$4:$E$141,"310",$DO$4:$DO$141)</f>
        <v>0</v>
      </c>
      <c r="DP149" s="19">
        <f>SUMIF($E$4:$E$141,"310",$DP$4:$DP$141)</f>
        <v>0</v>
      </c>
      <c r="DQ149" s="19">
        <f>SUMIF($E$4:$E$141,"310",$DQ$4:$DQ$141)</f>
        <v>0</v>
      </c>
      <c r="DR149" s="19">
        <f>SUMIF($E$4:$E$141,"310",$DR$4:$DR$141)</f>
        <v>0</v>
      </c>
      <c r="DS149" s="19">
        <f>SUMIF($E$4:$E$141,"310",$DS$4:$DS$141)</f>
        <v>0</v>
      </c>
      <c r="DT149" s="19">
        <f>SUMIF($E$4:$E$141,"310",$DT$4:$DT$141)</f>
        <v>23682251</v>
      </c>
      <c r="DU149" s="19">
        <f>SUMIF($E$4:$E$141,"310",$DU$4:$DU$141)</f>
        <v>54000000</v>
      </c>
      <c r="DV149" s="19">
        <f>SUMIF($E$4:$E$141,"310",$DV$4:$DV$141)</f>
        <v>0</v>
      </c>
      <c r="DW149" s="19">
        <f>SUMIF($E$4:$E$141,"310",$DW$4:$DW$141)</f>
        <v>0</v>
      </c>
      <c r="DX149" s="19">
        <f>SUMIF($E$4:$E$141,"310",$DX$4:$DX$141)</f>
        <v>0</v>
      </c>
      <c r="DY149" s="19">
        <f>SUMIF($E$4:$E$141,"310",$DY$4:$DY$141)</f>
        <v>0</v>
      </c>
      <c r="DZ149" s="19">
        <f>SUMIF($E$4:$E$141,"310",$DZ$4:$DZ$141)</f>
        <v>63861840</v>
      </c>
      <c r="EB149" s="9">
        <f t="shared" si="399"/>
        <v>1076000000</v>
      </c>
      <c r="EC149" s="9">
        <f t="shared" si="400"/>
        <v>1076000000</v>
      </c>
      <c r="ED149" s="9">
        <f t="shared" si="401"/>
        <v>1076000000</v>
      </c>
    </row>
    <row r="150" spans="3:136" x14ac:dyDescent="0.3">
      <c r="C150" s="33"/>
      <c r="D150" s="32" t="s">
        <v>14</v>
      </c>
      <c r="E150" s="31">
        <v>410</v>
      </c>
      <c r="F150" s="29"/>
      <c r="G150" s="24">
        <f>SUMIF($E$4:$E$141,"410",$G$4:$G$141)</f>
        <v>9091266497</v>
      </c>
      <c r="H150" s="30">
        <f>SUMIF($E$4:$E$141,"410",$H$4:$H$141)</f>
        <v>0</v>
      </c>
      <c r="I150" s="30">
        <f>SUMIF($E$4:$E$142,"410",$I$4:$I$142)</f>
        <v>0</v>
      </c>
      <c r="J150" s="30">
        <f>SUMIF($E$4:$E$142,"410",$J$4:$J$142)</f>
        <v>0</v>
      </c>
      <c r="K150" s="30">
        <f>SUMIF($E$4:$E$142,"410",$K$4:$K$142)</f>
        <v>0</v>
      </c>
      <c r="L150" s="24">
        <f>SUMIF($E$4:$E$141,"410",$L$4:$L$141)</f>
        <v>0</v>
      </c>
      <c r="M150" s="29">
        <f>SUMIF($E$4:$E$141,"410",$M$4:$M$141)</f>
        <v>0</v>
      </c>
      <c r="N150" s="29">
        <f>SUMIF($E$4:$E$141,"410",$N$4:$N$141)</f>
        <v>0</v>
      </c>
      <c r="O150" s="29">
        <f>SUMIF($E$4:$E$141,"410",$O$4:$O$141)</f>
        <v>2419061682</v>
      </c>
      <c r="P150" s="29">
        <f>SUMIF($E$4:$E$141,"410",$P$4:$P$141)</f>
        <v>45960534</v>
      </c>
      <c r="Q150" s="29">
        <f>SUMIF($E$4:$E$141,"410",$Q$4:$Q$141)</f>
        <v>45960534</v>
      </c>
      <c r="R150" s="29">
        <f>SUMIF($E$4:$E$141,"410",$R$4:$R$141)</f>
        <v>85960534</v>
      </c>
      <c r="S150" s="29">
        <f>SUMIF($E$4:$E$141,"410",$S$4:$S$141)</f>
        <v>797458202</v>
      </c>
      <c r="T150" s="29">
        <f>SUMIF($E$4:$E$141,"410",$T$4:$T$141)</f>
        <v>30000000</v>
      </c>
      <c r="U150" s="29">
        <f>SUMIF($E$4:$E$141,"410",$U$4:$U$141)</f>
        <v>60000000</v>
      </c>
      <c r="V150" s="29">
        <f>SUMIF($E$4:$E$141,"410",$V$4:$V$141)</f>
        <v>20000000</v>
      </c>
      <c r="W150" s="29">
        <f>SUMIF($E$4:$E$141,"410",$W$4:$W$141)</f>
        <v>3457651561</v>
      </c>
      <c r="X150" s="29">
        <f>SUMIF($E$4:$E$141,"410",$X$4:$X$141)</f>
        <v>90000000</v>
      </c>
      <c r="Y150" s="29">
        <f>SUMIF($E$4:$E$141,"410",$Y$4:$Y$141)</f>
        <v>52565530</v>
      </c>
      <c r="Z150" s="29">
        <f>SUMIF($E$4:$E$130,"410",$Z$4:$Z$130)</f>
        <v>1116053744</v>
      </c>
      <c r="AA150" s="29">
        <f>SUMIF($E$4:$E$130,"410",$AA$4:$AA$130)</f>
        <v>0</v>
      </c>
      <c r="AB150" s="29">
        <f>SUMIF($E$4:$E$141,"410",$AB$4:$AB$141)</f>
        <v>453752865</v>
      </c>
      <c r="AC150" s="29">
        <f>SUMIF($E$4:$E$141,"410",$AC$4:$AC$141)</f>
        <v>0</v>
      </c>
      <c r="AD150" s="29">
        <f>SUMIF($E$4:$E$141,"410",$AD$4:$AD$141)</f>
        <v>416841311</v>
      </c>
      <c r="AE150" s="28">
        <f t="shared" si="392"/>
        <v>0.61692958300703082</v>
      </c>
      <c r="AF150" s="24">
        <f>SUMIF($E$4:$E$141,"410",$AF$4:$AF$141)</f>
        <v>5608671249</v>
      </c>
      <c r="AG150" s="24">
        <f>SUMIF($E$4:$E$141,"410",$AG$4:$AG$141)</f>
        <v>0</v>
      </c>
      <c r="AH150" s="24">
        <f>SUMIF($E$4:$E$141,"410",$AH$4:$AH$141)</f>
        <v>0</v>
      </c>
      <c r="AI150" s="24">
        <f>SUMIF($E$4:$E$141,"410",$AI$4:$AI$141)</f>
        <v>0</v>
      </c>
      <c r="AJ150" s="24">
        <f>SUMIF($E$4:$E$141,"410",$AJ$4:$AJ$141)</f>
        <v>0</v>
      </c>
      <c r="AK150" s="24">
        <f>SUMIF($E$4:$E$141,"410",$AK$4:$AK$141)</f>
        <v>0</v>
      </c>
      <c r="AL150" s="24">
        <f>SUMIF($E$4:$E$141,"410",$AL$4:$AL$141)</f>
        <v>0</v>
      </c>
      <c r="AM150" s="24">
        <f>SUMIF($E$4:$E$141,"410",$AM$4:$AM$141)</f>
        <v>0</v>
      </c>
      <c r="AN150" s="24">
        <f>SUMIF($E$4:$E$141,"410",$AN$4:$AN$141)</f>
        <v>1802685139</v>
      </c>
      <c r="AO150" s="24">
        <f>SUMIF($E$4:$E$141,"410",$AO$4:$AO$141)</f>
        <v>0</v>
      </c>
      <c r="AP150" s="24">
        <f>SUMIF($E$4:$E$141,"410",$AP$4:$AP$141)</f>
        <v>4442302</v>
      </c>
      <c r="AQ150" s="24">
        <f>SUMIF($E$4:$E$141,"410",$AQ$4:$AQ$141)</f>
        <v>5005939</v>
      </c>
      <c r="AR150" s="24">
        <f>SUMIF($E$4:$E$141,"410",$AR$4:$AR$141)</f>
        <v>688781491</v>
      </c>
      <c r="AS150" s="24">
        <f>SUMIF($E$4:$E$141,"410",$AS$4:$AS$141)</f>
        <v>1614681</v>
      </c>
      <c r="AT150" s="24">
        <f>SUMIF($E$4:$E$141,"410",$AT$4:$AT$141)</f>
        <v>9977239</v>
      </c>
      <c r="AU150" s="24">
        <f>SUMIF($E$4:$E$141,"410",$AU$4:$AU$141)</f>
        <v>2592938</v>
      </c>
      <c r="AV150" s="24">
        <f>SUMIF($E$4:$E$141,"410",$AV$4:$AV$141)</f>
        <v>1778728458</v>
      </c>
      <c r="AW150" s="24">
        <f>SUMIF($E$4:$E$141,"410",$AW$4:$AW$141)</f>
        <v>90000000</v>
      </c>
      <c r="AX150" s="24">
        <f>SUMIF($E$4:$E$141,"410",$AX$4:$AX$141)</f>
        <v>0</v>
      </c>
      <c r="AY150" s="24">
        <f>SUMIF($E$4:$E$141,"410",$AY$4:$AY$141)</f>
        <v>722811855</v>
      </c>
      <c r="AZ150" s="24">
        <f>SUMIF($E$4:$E$141,"410",$AZ$4:$AZ$141)</f>
        <v>0</v>
      </c>
      <c r="BA150" s="24">
        <f>SUMIF($E$4:$E$141,"410",$BA$4:$BA$141)</f>
        <v>254320879</v>
      </c>
      <c r="BB150" s="24">
        <f>SUMIF($E$4:$E$141,"410",$BB$4:$BB$141)</f>
        <v>0</v>
      </c>
      <c r="BC150" s="24">
        <f>SUMIF($E$4:$E$141,"410",$BC$4:$BC$141)</f>
        <v>247710328</v>
      </c>
      <c r="BD150" s="27">
        <f t="shared" si="393"/>
        <v>0.38307041699296918</v>
      </c>
      <c r="BE150" s="21">
        <f t="shared" si="394"/>
        <v>3482595248</v>
      </c>
      <c r="BF150" s="20">
        <f>SUMIF($E$4:$E$141,"410",$BF$4:$BF$141)</f>
        <v>0</v>
      </c>
      <c r="BG150" s="20">
        <f>SUMIF($E$4:$E$141,"410",$BG$4:$BG$141)</f>
        <v>0</v>
      </c>
      <c r="BH150" s="20">
        <f>SUMIF($E$4:$E$141,"410",$BH$4:$BH$141)</f>
        <v>0</v>
      </c>
      <c r="BI150" s="20">
        <f>SUMIF($E$4:$E$141,"410",$BI$4:$BI$141)</f>
        <v>0</v>
      </c>
      <c r="BJ150" s="20">
        <f>SUMIF($E$4:$E$141,"410",$BJ$4:$BJ$141)</f>
        <v>0</v>
      </c>
      <c r="BK150" s="20">
        <f>SUMIF($E$4:$E$141,"410",$BK$4:$BK$141)</f>
        <v>0</v>
      </c>
      <c r="BL150" s="20">
        <f>SUMIF($E$4:$E$141,"410",$BL$4:$BL$141)</f>
        <v>0</v>
      </c>
      <c r="BM150" s="20">
        <f>SUMIF($E$4:$E$141,"410",$BM$4:$BM$141)</f>
        <v>616376543</v>
      </c>
      <c r="BN150" s="20">
        <f>SUMIF($E$4:$E$141,"410",$BN$4:$BN$141)</f>
        <v>45960534</v>
      </c>
      <c r="BO150" s="20">
        <f>SUMIF($E$4:$E$141,"410",$BO$4:$BO$141)</f>
        <v>41518232</v>
      </c>
      <c r="BP150" s="20">
        <f>SUMIF($E$4:$E$141,"410",$BP$4:$BP$141)</f>
        <v>80954595</v>
      </c>
      <c r="BQ150" s="20">
        <f>SUMIF($E$4:$E$141,"410",$BQ$4:$BQ$141)</f>
        <v>108676711</v>
      </c>
      <c r="BR150" s="20">
        <f>SUMIF($E$4:$E$141,"410",$BR$4:$BR$141)</f>
        <v>28385319</v>
      </c>
      <c r="BS150" s="20">
        <f>SUMIF($E$4:$E$141,"410",$BS$4:$BS$141)</f>
        <v>50022761</v>
      </c>
      <c r="BT150" s="20">
        <f>SUMIF($E$4:$E$141,"410",$BT$4:$BT$141)</f>
        <v>17407062</v>
      </c>
      <c r="BU150" s="20">
        <f>SUMIF($E$4:$E$141,"410",$BU$4:$BU$141)</f>
        <v>1678923103</v>
      </c>
      <c r="BV150" s="20">
        <f>SUMIF($E$4:$E$141,"410",$BV$4:$BV$141)</f>
        <v>0</v>
      </c>
      <c r="BW150" s="20">
        <f>SUMIF($E$4:$E$141,"410",$BW$4:$BW$141)</f>
        <v>52565530</v>
      </c>
      <c r="BX150" s="20">
        <f>SUMIF($E$4:$E$141,"410",$BX$4:$BX$141)</f>
        <v>393241889</v>
      </c>
      <c r="BY150" s="20">
        <f>SUMIF($E$4:$E$141,"410",$BY$4:$BY$141)</f>
        <v>0</v>
      </c>
      <c r="BZ150" s="20">
        <f>SUMIF($E$4:$E$141,"410",$BZ$4:$BZ$141)</f>
        <v>199431986</v>
      </c>
      <c r="CA150" s="20">
        <f>SUMIF($E$4:$E$141,"410",$CA$4:$CA$141)</f>
        <v>0</v>
      </c>
      <c r="CB150" s="26">
        <f>SUMIF($E$4:$E$141,"410",$CB$4:$CB$141)</f>
        <v>169130983</v>
      </c>
      <c r="CC150" s="25">
        <f t="shared" si="395"/>
        <v>0.42409803367575838</v>
      </c>
      <c r="CD150" s="21">
        <f t="shared" si="396"/>
        <v>3855588245</v>
      </c>
      <c r="CE150" s="24">
        <f>SUMIF($E$4:$E$141,"410",$CE$4:$CE$141)</f>
        <v>0</v>
      </c>
      <c r="CF150" s="24">
        <f>SUMIF($E$4:$E$141,"410",$CF$4:$CF$141)</f>
        <v>0</v>
      </c>
      <c r="CG150" s="24">
        <f>SUMIF($E$4:$E$141,"410",$CG$4:$CG$141)</f>
        <v>0</v>
      </c>
      <c r="CH150" s="24">
        <f>SUMIF($E$4:$E$141,"410",$CH$4:$CH$141)</f>
        <v>0</v>
      </c>
      <c r="CI150" s="24">
        <f>SUMIF($E$4:$E$141,"410",$CI$4:$CI$141)</f>
        <v>0</v>
      </c>
      <c r="CJ150" s="24">
        <f>SUMIF($E$4:$E$141,"410",$CJ$4:$CJ$141)</f>
        <v>0</v>
      </c>
      <c r="CK150" s="24">
        <f>SUMIF($E$4:$E$141,"410",$CK$4:$CK$141)</f>
        <v>0</v>
      </c>
      <c r="CL150" s="24">
        <f>SUMIF($E$4:$E$141,"410",$CL$4:$CL$141)</f>
        <v>1341255576</v>
      </c>
      <c r="CM150" s="24">
        <f>SUMIF($E$4:$E$141,"410",$CM$4:$CM$141)</f>
        <v>0</v>
      </c>
      <c r="CN150" s="24">
        <f>SUMIF($E$4:$E$141,"410",$CN$4:$CN$141)</f>
        <v>4442302</v>
      </c>
      <c r="CO150" s="24">
        <f>SUMIF($E$4:$E$141,"410",$CO$4:$CO$141)</f>
        <v>4865259</v>
      </c>
      <c r="CP150" s="24">
        <f>SUMIF($E$4:$E$141,"410",$CP$4:$CP$141)</f>
        <v>508099968</v>
      </c>
      <c r="CQ150" s="24">
        <f>SUMIF($E$4:$E$141,"410",$CQ$4:$CQ$141)</f>
        <v>1614681</v>
      </c>
      <c r="CR150" s="24">
        <f>SUMIF($E$4:$E$141,"410",$CR$4:$CR$141)</f>
        <v>9752686</v>
      </c>
      <c r="CS150" s="24">
        <f>SUMIF($E$4:$E$141,"410",$CS$4:$CS$141)</f>
        <v>2592938</v>
      </c>
      <c r="CT150" s="24">
        <f>SUMIF($E$4:$E$141,"410",$CT$4:$CT$141)</f>
        <v>991295154</v>
      </c>
      <c r="CU150" s="24">
        <f>SUMIF($E$4:$E$141,"410",$CU$4:$CU$141)</f>
        <v>75578503</v>
      </c>
      <c r="CV150" s="24">
        <f>SUMIF($E$4:$E$141,"410",$CV$4:$CV$141)</f>
        <v>0</v>
      </c>
      <c r="CW150" s="24">
        <f>SUMIF($E$4:$E$141,"410",$CW$4:$CW$141)</f>
        <v>518088840</v>
      </c>
      <c r="CX150" s="24">
        <f>SUMIF($E$4:$E$141,"410",$CX$4:$CX$141)</f>
        <v>0</v>
      </c>
      <c r="CY150" s="24">
        <f>SUMIF($E$4:$E$141,"410",$CY$4:$CY$141)</f>
        <v>208651389</v>
      </c>
      <c r="CZ150" s="24">
        <f>SUMIF($E$4:$E$141,"410",$CZ$4:$CZ$141)</f>
        <v>0</v>
      </c>
      <c r="DA150" s="23">
        <f>SUMIF($E$4:$E$141,"410",$DA$4:$DA$141)</f>
        <v>189350949</v>
      </c>
      <c r="DB150" s="22">
        <f t="shared" si="397"/>
        <v>0.57590196632424162</v>
      </c>
      <c r="DC150" s="21">
        <f t="shared" si="398"/>
        <v>5235678252</v>
      </c>
      <c r="DD150" s="20">
        <f>SUMIF($E$4:$E$141,"410",$DD$4:$DD$141)</f>
        <v>0</v>
      </c>
      <c r="DE150" s="20">
        <f>SUMIF($E$4:$E$141,"410",$DE$4:$DE$141)</f>
        <v>0</v>
      </c>
      <c r="DF150" s="20">
        <f>SUMIF($E$4:$E$141,"410",$DF$4:$DF$141)</f>
        <v>0</v>
      </c>
      <c r="DG150" s="20">
        <f>SUMIF($E$4:$E$141,"410",$DG$4:$DG$141)</f>
        <v>0</v>
      </c>
      <c r="DH150" s="20">
        <f>SUMIF($E$4:$E$141,"410",$DH$4:$DH$141)</f>
        <v>0</v>
      </c>
      <c r="DI150" s="20">
        <f>SUMIF($E$4:$E$141,"410",$DI$4:$DI$141)</f>
        <v>0</v>
      </c>
      <c r="DJ150" s="20">
        <f>SUMIF($E$4:$E$141,"410",$DJ$4:$DJ$141)</f>
        <v>0</v>
      </c>
      <c r="DK150" s="20">
        <f>SUMIF($E$4:$E$141,"410",$DK$4:$DK$141)</f>
        <v>1077806106</v>
      </c>
      <c r="DL150" s="20">
        <f>SUMIF($E$4:$E$141,"410",$DL$4:$DL$141)</f>
        <v>45960534</v>
      </c>
      <c r="DM150" s="20">
        <f>SUMIF($E$4:$E$141,"410",$DM$4:$DM$141)</f>
        <v>41518232</v>
      </c>
      <c r="DN150" s="19">
        <f>SUMIF($E$4:$E$141,"410",$DN$4:$DN$141)</f>
        <v>81095275</v>
      </c>
      <c r="DO150" s="19">
        <f>SUMIF($E$4:$E$141,"410",$DO$4:$DO$141)</f>
        <v>289358234</v>
      </c>
      <c r="DP150" s="19">
        <f>SUMIF($E$4:$E$141,"410",$DP$4:$DP$141)</f>
        <v>28385319</v>
      </c>
      <c r="DQ150" s="19">
        <f>SUMIF($E$4:$E$141,"410",$DQ$4:$DQ$141)</f>
        <v>50247314</v>
      </c>
      <c r="DR150" s="19">
        <f>SUMIF($E$4:$E$141,"410",$DR$4:$DR$141)</f>
        <v>17407062</v>
      </c>
      <c r="DS150" s="19">
        <f>SUMIF($E$4:$E$141,"410",$DS$4:$DS$141)</f>
        <v>2466356407</v>
      </c>
      <c r="DT150" s="19">
        <f>SUMIF($E$4:$E$141,"410",$DT$4:$DT$141)</f>
        <v>14421497</v>
      </c>
      <c r="DU150" s="19">
        <f>SUMIF($E$4:$E$141,"410",$DU$4:$DU$141)</f>
        <v>52565530</v>
      </c>
      <c r="DV150" s="19">
        <f>SUMIF($E$4:$E$141,"410",$DV$4:$DV$141)</f>
        <v>597964904</v>
      </c>
      <c r="DW150" s="19">
        <f>SUMIF($E$4:$E$141,"410",$DW$4:$DW$141)</f>
        <v>0</v>
      </c>
      <c r="DX150" s="19">
        <f>SUMIF($E$4:$E$141,"410",$DX$4:$DX$141)</f>
        <v>245101476</v>
      </c>
      <c r="DY150" s="19">
        <f>SUMIF($E$4:$E$141,"410",$DY$4:$DY$141)</f>
        <v>0</v>
      </c>
      <c r="DZ150" s="19">
        <f>SUMIF($E$4:$E$141,"410",$DZ$4:$DZ$141)</f>
        <v>227490362</v>
      </c>
      <c r="EB150" s="9">
        <f t="shared" si="399"/>
        <v>9091266497</v>
      </c>
      <c r="EC150" s="9">
        <f t="shared" si="400"/>
        <v>9091266497</v>
      </c>
      <c r="ED150" s="9">
        <f t="shared" si="401"/>
        <v>9091266497</v>
      </c>
      <c r="EF150" s="4"/>
    </row>
    <row r="151" spans="3:136" ht="14.25" customHeight="1" x14ac:dyDescent="0.3">
      <c r="C151" s="33"/>
      <c r="D151" s="34" t="s">
        <v>13</v>
      </c>
      <c r="E151" s="31">
        <v>510</v>
      </c>
      <c r="F151" s="29"/>
      <c r="G151" s="24">
        <f>SUMIF($E$4:$E$141,"510",$G$4:$G$141)</f>
        <v>2989288038</v>
      </c>
      <c r="H151" s="30">
        <f>SUMIF($E$4:$E$141,"510",$H$4:$H$141)</f>
        <v>23655791</v>
      </c>
      <c r="I151" s="30">
        <f>SUMIF($E$4:$E$142,"510",$I$4:$I$142)</f>
        <v>1151070473</v>
      </c>
      <c r="J151" s="30">
        <f>SUMIF($E$4:$E$142,"510",$J$4:$J$142)</f>
        <v>80644090</v>
      </c>
      <c r="K151" s="30">
        <f>SUMIF($E$4:$E$142,"510",$K$4:$K$142)</f>
        <v>0</v>
      </c>
      <c r="L151" s="24">
        <f>SUMIF($E$4:$E$141,"510",$L$4:$L$141)</f>
        <v>0</v>
      </c>
      <c r="M151" s="29">
        <f>SUMIF($E$4:$E$141,"510",$M$4:$M$141)</f>
        <v>0</v>
      </c>
      <c r="N151" s="29">
        <f>SUMIF($E$4:$E$141,"510",$N$4:$N$141)</f>
        <v>0</v>
      </c>
      <c r="O151" s="29">
        <f>SUMIF($E$4:$E$141,"510",$O$4:$O$141)</f>
        <v>0</v>
      </c>
      <c r="P151" s="29">
        <f>SUMIF($E$4:$E$141,"510",$P$4:$P$141)</f>
        <v>15000000</v>
      </c>
      <c r="Q151" s="29">
        <f>SUMIF($E$4:$E$141,"510",$Q$4:$Q$141)</f>
        <v>15000000</v>
      </c>
      <c r="R151" s="29">
        <f>SUMIF($E$4:$E$141,"510",$R$4:$R$141)</f>
        <v>15000000</v>
      </c>
      <c r="S151" s="29">
        <f>SUMIF($E$4:$E$141,"510",$S$4:$S$141)</f>
        <v>0</v>
      </c>
      <c r="T151" s="29">
        <f>SUMIF($E$4:$E$141,"510",$T$4:$T$141)</f>
        <v>0</v>
      </c>
      <c r="U151" s="29">
        <f>SUMIF($E$4:$E$141,"510",$U$4:$U$141)</f>
        <v>0</v>
      </c>
      <c r="V151" s="29">
        <f>SUMIF($E$4:$E$141,"510",$V$4:$V$141)</f>
        <v>0</v>
      </c>
      <c r="W151" s="29">
        <f>SUMIF($E$4:$E$141,"510",$W$4:$W$141)</f>
        <v>0</v>
      </c>
      <c r="X151" s="29">
        <f>SUMIF($E$4:$E$141,"510",$X$4:$X$141)</f>
        <v>236000000</v>
      </c>
      <c r="Y151" s="29">
        <f>SUMIF($E$4:$E$141,"510",$Y$4:$Y$141)</f>
        <v>162000000</v>
      </c>
      <c r="Z151" s="29">
        <f>SUMIF($E$4:$E$141,"510",$Z$4:$Z$141)</f>
        <v>0</v>
      </c>
      <c r="AA151" s="29">
        <f>SUMIF($E$4:$E$141,"510",$AA$4:$AA$141)</f>
        <v>0</v>
      </c>
      <c r="AB151" s="29"/>
      <c r="AC151" s="29">
        <f>SUMIF($E$4:$E$141,"510",$AC$4:$AC$141)</f>
        <v>972811018</v>
      </c>
      <c r="AD151" s="29">
        <f>SUMIF($E$4:$E$141,"510",$AD$4:$AD$141)</f>
        <v>318106666</v>
      </c>
      <c r="AE151" s="28">
        <f t="shared" si="392"/>
        <v>0.77405162553291562</v>
      </c>
      <c r="AF151" s="24">
        <f>SUMIF($E$4:$E$141,"510",$AF$4:$AF$141)</f>
        <v>2313863265</v>
      </c>
      <c r="AG151" s="24">
        <f>SUMIF($E$4:$E$141,"510",$AG$4:$AG$141)</f>
        <v>0</v>
      </c>
      <c r="AH151" s="24">
        <f>SUMIF($E$4:$E$141,"510",$AH$4:$AH$141)</f>
        <v>1091203573</v>
      </c>
      <c r="AI151" s="24">
        <f>SUMIF($E$4:$E$141,"510",$AI$4:$AI$141)</f>
        <v>71205370</v>
      </c>
      <c r="AJ151" s="24">
        <f>SUMIF($E$4:$E$141,"510",$AJ$4:$AJ$141)</f>
        <v>0</v>
      </c>
      <c r="AK151" s="24">
        <f>SUMIF($E$4:$E$141,"510",$AK$4:$AK$141)</f>
        <v>0</v>
      </c>
      <c r="AL151" s="24">
        <f>SUMIF($E$4:$E$141,"510",$AL$4:$AL$141)</f>
        <v>0</v>
      </c>
      <c r="AM151" s="24">
        <f>SUMIF($E$4:$E$141,"510",$AM$4:$AM$141)</f>
        <v>0</v>
      </c>
      <c r="AN151" s="24">
        <f>SUMIF($E$4:$E$141,"510",$AN$4:$AN$141)</f>
        <v>0</v>
      </c>
      <c r="AO151" s="24">
        <f>SUMIF($E$4:$E$141,"510",$AO$4:$AO$141)</f>
        <v>0</v>
      </c>
      <c r="AP151" s="24">
        <f>SUMIF($E$4:$E$141,"510",$AP$4:$AP$141)</f>
        <v>14999964</v>
      </c>
      <c r="AQ151" s="24">
        <f>SUMIF($E$4:$E$141,"510",$AQ$4:$AQ$141)</f>
        <v>0</v>
      </c>
      <c r="AR151" s="24">
        <f>SUMIF($E$4:$E$141,"510",$AR$4:$AR$141)</f>
        <v>0</v>
      </c>
      <c r="AS151" s="24">
        <f>SUMIF($E$4:$E$141,"510",$AS$4:$AS$141)</f>
        <v>0</v>
      </c>
      <c r="AT151" s="24">
        <f>SUMIF($E$4:$E$141,"510",$AT$4:$AT$141)</f>
        <v>0</v>
      </c>
      <c r="AU151" s="24">
        <f>SUMIF($E$4:$E$141,"510",$AU$4:$AU$141)</f>
        <v>0</v>
      </c>
      <c r="AV151" s="24">
        <f>SUMIF($E$4:$E$141,"510",$AV$4:$AV$141)</f>
        <v>0</v>
      </c>
      <c r="AW151" s="24">
        <f>SUMIF($E$4:$E$141,"510",$AW$4:$AW$141)</f>
        <v>186074655</v>
      </c>
      <c r="AX151" s="24">
        <f>SUMIF($E$4:$E$141,"510",$AX$4:$AX$141)</f>
        <v>149298526</v>
      </c>
      <c r="AY151" s="24">
        <f>SUMIF($E$4:$E$141,"510",$AY$4:$AY$141)</f>
        <v>0</v>
      </c>
      <c r="AZ151" s="24">
        <f>SUMIF($E$4:$E$141,"510",$AZ$4:$AZ$141)</f>
        <v>0</v>
      </c>
      <c r="BA151" s="24">
        <f>SUMIF($E$4:$E$141," 510",$BA$4:$BA$141)</f>
        <v>0</v>
      </c>
      <c r="BB151" s="24">
        <f>SUMIF($E$4:$E$141,"510",$BB$4:$BB$141)</f>
        <v>564330000</v>
      </c>
      <c r="BC151" s="24">
        <f>SUMIF($E$4:$E$141,"510",$BC$4:$BC$141)</f>
        <v>236751177</v>
      </c>
      <c r="BD151" s="27">
        <f t="shared" si="393"/>
        <v>0.22594837446708438</v>
      </c>
      <c r="BE151" s="21">
        <f t="shared" si="394"/>
        <v>675424773</v>
      </c>
      <c r="BF151" s="20">
        <f>SUMIF($E$4:$E$141,"510",$BF$4:$BF$141)</f>
        <v>23655791</v>
      </c>
      <c r="BG151" s="20">
        <f>SUMIF($E$4:$E$141,"510",$BG$4:$BG$141)</f>
        <v>59866900</v>
      </c>
      <c r="BH151" s="20">
        <f>SUMIF($E$4:$E$141,"510",$BH$4:$BH$141)</f>
        <v>9438720</v>
      </c>
      <c r="BI151" s="20">
        <f>SUMIF($E$4:$E$141,"510",$BI$4:$BI$141)</f>
        <v>0</v>
      </c>
      <c r="BJ151" s="20">
        <f>SUMIF($E$4:$E$141,"510",$BJ$4:$BJ$141)</f>
        <v>0</v>
      </c>
      <c r="BK151" s="20">
        <f>SUMIF($E$4:$E$141,"510",$BK$4:$BK$141)</f>
        <v>0</v>
      </c>
      <c r="BL151" s="20">
        <f>SUMIF($E$4:$E$141,"510",$BL$4:$BL$141)</f>
        <v>0</v>
      </c>
      <c r="BM151" s="20">
        <f>SUMIF($E$4:$E$141,"510",$BM$4:$BM$141)</f>
        <v>0</v>
      </c>
      <c r="BN151" s="20">
        <f>SUMIF($E$4:$E$141,"510",$BN$4:$BN$141)</f>
        <v>15000000</v>
      </c>
      <c r="BO151" s="20">
        <f>SUMIF($E$4:$E$141,"510",$BO$4:$BO$141)</f>
        <v>36</v>
      </c>
      <c r="BP151" s="20">
        <f>SUMIF($E$4:$E$141,"510",$BP$4:$BP$141)</f>
        <v>15000000</v>
      </c>
      <c r="BQ151" s="20">
        <f>SUMIF($E$4:$E$141,"510",$BQ$4:$BQ$141)</f>
        <v>0</v>
      </c>
      <c r="BR151" s="20">
        <f>SUMIF($E$4:$E$141,"510",$BR$4:$BR$141)</f>
        <v>0</v>
      </c>
      <c r="BS151" s="20">
        <f>SUMIF($E$4:$E$141,"510",$BS$4:$BS$141)</f>
        <v>0</v>
      </c>
      <c r="BT151" s="20">
        <f>SUMIF($E$4:$E$141,"510",$BT$4:$BT$141)</f>
        <v>0</v>
      </c>
      <c r="BU151" s="20">
        <f>SUMIF($E$4:$E$141,"510",$BU$4:$BU$141)</f>
        <v>0</v>
      </c>
      <c r="BV151" s="20">
        <f>SUMIF($E$4:$E$141,"510",$BV$4:$BV$141)</f>
        <v>49925345</v>
      </c>
      <c r="BW151" s="20">
        <f>SUMIF($E$4:$E$141,"510",$BW$4:$BW$141)</f>
        <v>12701474</v>
      </c>
      <c r="BX151" s="20">
        <f>SUMIF($E$4:$E$141,"510",$BX$4:$BX$141)</f>
        <v>0</v>
      </c>
      <c r="BY151" s="20">
        <f>SUMIF($E$4:$E$141,"510",$BY$4:$BY$141)</f>
        <v>0</v>
      </c>
      <c r="BZ151" s="20">
        <f>SUMIF($E$4:$E$141,"510",$BZ$4:$BZ$141)</f>
        <v>0</v>
      </c>
      <c r="CA151" s="20">
        <f>SUMIF($E$4:$E$141,"510",$CA$4:$CA$141)</f>
        <v>408481018</v>
      </c>
      <c r="CB151" s="26">
        <f>SUMIF($E$4:$E$141,"510",$CB$4:$CB$141)</f>
        <v>81355489</v>
      </c>
      <c r="CC151" s="25">
        <f t="shared" si="395"/>
        <v>0.67584490564906885</v>
      </c>
      <c r="CD151" s="21">
        <f t="shared" si="396"/>
        <v>2020295092</v>
      </c>
      <c r="CE151" s="24">
        <f>SUMIF($E$4:$E$141,"510",$CE$4:$CE$141)</f>
        <v>0</v>
      </c>
      <c r="CF151" s="24">
        <f>SUMIF($E$4:$E$141,"510",$CF$4:$CF$141)</f>
        <v>1002026678</v>
      </c>
      <c r="CG151" s="24">
        <f>SUMIF($E$4:$E$141,"510",$CG$4:$CG$141)</f>
        <v>33329347</v>
      </c>
      <c r="CH151" s="24">
        <f>SUMIF($E$4:$E$141,"510",$CH$4:$CH$141)</f>
        <v>0</v>
      </c>
      <c r="CI151" s="24">
        <f>SUMIF($E$4:$E$141,"510",$CI$4:$CI$141)</f>
        <v>0</v>
      </c>
      <c r="CJ151" s="24">
        <f>SUMIF($E$4:$E$141,"510",$CJ$4:$CJ$141)</f>
        <v>0</v>
      </c>
      <c r="CK151" s="24">
        <f>SUMIF($E$4:$E$141,"510",$CK$4:$CK$141)</f>
        <v>0</v>
      </c>
      <c r="CL151" s="24">
        <f>SUMIF($E$4:$E$141,"510",$CL$4:$CL$141)</f>
        <v>0</v>
      </c>
      <c r="CM151" s="24">
        <f>SUMIF($E$4:$E$141,"510",$CM$4:$CM$141)</f>
        <v>0</v>
      </c>
      <c r="CN151" s="24">
        <f>SUMIF($E$4:$E$141,"510",$CN$4:$CN$141)</f>
        <v>14999964</v>
      </c>
      <c r="CO151" s="24">
        <f>SUMIF($E$4:$E$141,"510",$CO$4:$CO$141)</f>
        <v>0</v>
      </c>
      <c r="CP151" s="24">
        <f>SUMIF($E$4:$E$141,"510",$CP$4:$CP$141)</f>
        <v>0</v>
      </c>
      <c r="CQ151" s="24">
        <f>SUMIF($E$4:$E$141,"510",$CQ$4:$CQ$141)</f>
        <v>0</v>
      </c>
      <c r="CR151" s="24">
        <f>SUMIF($E$4:$E$141,"510",$CR$4:$CR$141)</f>
        <v>0</v>
      </c>
      <c r="CS151" s="24">
        <f>SUMIF($E$4:$E$141,"510",$CS$4:$CS$141)</f>
        <v>0</v>
      </c>
      <c r="CT151" s="24">
        <f>SUMIF($E$4:$E$141,"510",$CT$4:$CT$141)</f>
        <v>0</v>
      </c>
      <c r="CU151" s="24">
        <f>SUMIF($E$4:$E$141,"510",$CU$4:$CU$141)</f>
        <v>164740084</v>
      </c>
      <c r="CV151" s="24">
        <f>SUMIF($E$4:$E$141,"510",$CV$4:$CV$141)</f>
        <v>131624859</v>
      </c>
      <c r="CW151" s="24">
        <f>SUMIF($E$4:$E$141,"510",$CW$4:$CW$141)</f>
        <v>0</v>
      </c>
      <c r="CX151" s="24">
        <f>SUMIF($E$4:$E$141,"510",$CX$4:$CX$141)</f>
        <v>0</v>
      </c>
      <c r="CY151" s="24">
        <f>SUMIF($E$4:$E$141,"510",$CY$4:$CY$141)</f>
        <v>0</v>
      </c>
      <c r="CZ151" s="24">
        <f>SUMIF($E$4:$E$141,"510",$CZ$4:$CZ$141)</f>
        <v>467044183</v>
      </c>
      <c r="DA151" s="23">
        <f>SUMIF($E$4:$E$141,"510",$DA$4:$DA$141)</f>
        <v>206529977</v>
      </c>
      <c r="DB151" s="22">
        <f t="shared" si="397"/>
        <v>0.32415509435093115</v>
      </c>
      <c r="DC151" s="21">
        <f t="shared" si="398"/>
        <v>968992946</v>
      </c>
      <c r="DD151" s="20">
        <f>SUMIF($E$4:$E$141,"510",$DD$4:$DD$141)</f>
        <v>23655791</v>
      </c>
      <c r="DE151" s="20">
        <f>SUMIF($E$4:$E$141,"510",$DE$4:$DE$141)</f>
        <v>149043795</v>
      </c>
      <c r="DF151" s="20">
        <f>SUMIF($E$4:$E$141,"510",$DF$4:$DF$141)</f>
        <v>47314743</v>
      </c>
      <c r="DG151" s="20">
        <f>SUMIF($E$4:$E$141,"510",$DG$4:$DG$141)</f>
        <v>0</v>
      </c>
      <c r="DH151" s="20">
        <f>SUMIF($E$4:$E$141,"510",$DH$4:$DH$141)</f>
        <v>0</v>
      </c>
      <c r="DI151" s="20">
        <f>SUMIF($E$4:$E$141,"510",$DI$4:$DI$141)</f>
        <v>0</v>
      </c>
      <c r="DJ151" s="20">
        <f>SUMIF($E$4:$E$141,"510",$DJ$4:$DJ$141)</f>
        <v>0</v>
      </c>
      <c r="DK151" s="20">
        <f>SUMIF($E$4:$E$141,"510",$DK$4:$DK$141)</f>
        <v>0</v>
      </c>
      <c r="DL151" s="20">
        <f>SUMIF($E$4:$E$141,"510",$DL$4:$DL$141)</f>
        <v>15000000</v>
      </c>
      <c r="DM151" s="20">
        <f>SUMIF($E$4:$E$141,"510",$DM$4:$DM$141)</f>
        <v>36</v>
      </c>
      <c r="DN151" s="19">
        <f>SUMIF($E$4:$E$141,"510",$DN$4:$DN$141)</f>
        <v>15000000</v>
      </c>
      <c r="DO151" s="19">
        <f>SUMIF($E$4:$E$141,"510",$DO$4:$DO$141)</f>
        <v>0</v>
      </c>
      <c r="DP151" s="19">
        <f>SUMIF($E$4:$E$141,"510",$DP$4:$DP$141)</f>
        <v>0</v>
      </c>
      <c r="DQ151" s="19">
        <f>SUMIF($E$4:$E$141,"510",$DQ$4:$DQ$141)</f>
        <v>0</v>
      </c>
      <c r="DR151" s="19">
        <f>SUMIF($E$4:$E$141,"510",$DR$4:$DR$141)</f>
        <v>0</v>
      </c>
      <c r="DS151" s="19">
        <f>SUMIF($E$4:$E$141,"510",$DS$4:$DS$141)</f>
        <v>0</v>
      </c>
      <c r="DT151" s="19">
        <f>SUMIF($E$4:$E$141,"510",$DT$4:$DT$141)</f>
        <v>71259916</v>
      </c>
      <c r="DU151" s="19">
        <f>SUMIF($E$4:$E$141,"510",$DU$4:$DU$141)</f>
        <v>30375141</v>
      </c>
      <c r="DV151" s="19">
        <f>SUMIF($E$4:$E$141,"510",$DV$4:$DV$141)</f>
        <v>0</v>
      </c>
      <c r="DW151" s="19">
        <f>SUMIF($E$4:$E$141,"510",$DW$4:$DW$141)</f>
        <v>0</v>
      </c>
      <c r="DX151" s="19">
        <f>SUMIF($E$4:$E$141,"510",$DX$4:$DX$141)</f>
        <v>0</v>
      </c>
      <c r="DY151" s="19">
        <f>SUMIF($E$4:$E$141,"510",$DY$4:$DY$141)</f>
        <v>505766835</v>
      </c>
      <c r="DZ151" s="19">
        <f>SUMIF($E$4:$E$141,"510",$DZ$4:$DZ$141)</f>
        <v>111576689</v>
      </c>
      <c r="EB151" s="9">
        <f t="shared" si="399"/>
        <v>2989288038</v>
      </c>
      <c r="EC151" s="9">
        <f t="shared" si="400"/>
        <v>2989288038</v>
      </c>
      <c r="ED151" s="9">
        <f t="shared" si="401"/>
        <v>2989288038</v>
      </c>
    </row>
    <row r="152" spans="3:136" x14ac:dyDescent="0.3">
      <c r="C152" s="33"/>
      <c r="D152" s="32" t="s">
        <v>12</v>
      </c>
      <c r="E152" s="31">
        <v>520</v>
      </c>
      <c r="F152" s="29"/>
      <c r="G152" s="24">
        <f>SUMIF($E$4:$E$141,"520",$G$4:$G$141)</f>
        <v>4542835904</v>
      </c>
      <c r="H152" s="30">
        <f>SUMIF($E$4:$E$141,"520",$H$4:$H$141)</f>
        <v>0</v>
      </c>
      <c r="I152" s="30">
        <f>SUMIF($E$4:$E$141,"520",$I$4:$I$141)</f>
        <v>835000000</v>
      </c>
      <c r="J152" s="30">
        <f>SUMIF($E$4:$E$142,"520",$J$4:$J$142)</f>
        <v>0</v>
      </c>
      <c r="K152" s="30">
        <f>SUMIF($E$4:$E$142,"520",$K$4:$K$142)</f>
        <v>114000000</v>
      </c>
      <c r="L152" s="24">
        <f>SUMIF($E$4:$E$141,"520",$L$4:$L$141)</f>
        <v>0</v>
      </c>
      <c r="M152" s="29">
        <f>SUMIF($E$4:$E$141,"520",$M$4:$M$141)</f>
        <v>0</v>
      </c>
      <c r="N152" s="29">
        <f>SUMIF($E$4:$E$141,"520",$N$4:$N$141)</f>
        <v>0</v>
      </c>
      <c r="O152" s="29">
        <f>SUMIF($E$4:$E$141,"520",$O$4:$O$141)</f>
        <v>0</v>
      </c>
      <c r="P152" s="29">
        <f>SUMIF($E$4:$E$141,"520",$P$4:$P$141)</f>
        <v>0</v>
      </c>
      <c r="Q152" s="29">
        <f>SUMIF($E$4:$E$141,"520",$Q$4:$Q$141)</f>
        <v>0</v>
      </c>
      <c r="R152" s="29">
        <f>SUMIF($E$4:$E$141,"520",$R$4:$R$141)</f>
        <v>0</v>
      </c>
      <c r="S152" s="29">
        <f>SUMIF($E$4:$E$141,"520",$S$4:$S$141)</f>
        <v>0</v>
      </c>
      <c r="T152" s="29">
        <f>SUMIF($E$4:$E$141,"520",$T$4:$T$141)</f>
        <v>0</v>
      </c>
      <c r="U152" s="29">
        <f>SUMIF($E$4:$E$141,"520",$U$4:$U$141)</f>
        <v>0</v>
      </c>
      <c r="V152" s="29">
        <f>SUMIF($E$4:$E$141,"520",$V$4:$V$141)</f>
        <v>0</v>
      </c>
      <c r="W152" s="29">
        <f>SUMIF($E$4:$E$141,"520",$W$4:$W$141)</f>
        <v>2115618253</v>
      </c>
      <c r="X152" s="29">
        <f>SUMIF($E$4:$E$141,"520",$X$4:$X$141)</f>
        <v>312000000</v>
      </c>
      <c r="Y152" s="29">
        <f>SUMIF($E$4:$E$141,"520",$Y$4:$Y$141)</f>
        <v>132565530</v>
      </c>
      <c r="Z152" s="29">
        <f>SUMIF($E$4:$E$141,"520",$Z$4:$Z$141)</f>
        <v>210000000</v>
      </c>
      <c r="AA152" s="29">
        <f>SUMIF($E$4:$E$130,"520",$AA$4:$AA$130)</f>
        <v>0</v>
      </c>
      <c r="AB152" s="29"/>
      <c r="AC152" s="29">
        <f>SUMIF($E$4:$E$141,"520",$AC$4:$AC$141)</f>
        <v>0</v>
      </c>
      <c r="AD152" s="29">
        <f>SUMIF($E$4:$E$141,"520",$AD$4:$AD$141)</f>
        <v>823652121</v>
      </c>
      <c r="AE152" s="28">
        <f t="shared" si="392"/>
        <v>0.70256471297801915</v>
      </c>
      <c r="AF152" s="24">
        <f>SUMIF($E$4:$E$141,"520",$AF$4:$AF$141)</f>
        <v>3191636203</v>
      </c>
      <c r="AG152" s="24">
        <f>SUMIF($E$4:$E$141,"520",$AG$4:$AG$141)</f>
        <v>0</v>
      </c>
      <c r="AH152" s="24">
        <f>SUMIF($E$4:$E$141,"520",$AH$4:$AH$141)</f>
        <v>723629579</v>
      </c>
      <c r="AI152" s="24">
        <f>SUMIF($E$4:$E$141,"520",$AI$4:$AI$141)</f>
        <v>0</v>
      </c>
      <c r="AJ152" s="24">
        <f>SUMIF($E$4:$E$141,"520",$AJ$4:$AJ$141)</f>
        <v>0</v>
      </c>
      <c r="AK152" s="24">
        <f>SUMIF($E$4:$E$141,"520",$AK$4:$AK$141)</f>
        <v>0</v>
      </c>
      <c r="AL152" s="24">
        <f>SUMIF($E$4:$E$141,"520",$AL$4:$AL$141)</f>
        <v>0</v>
      </c>
      <c r="AM152" s="24">
        <f>SUMIF($E$4:$E$141,"520",$AM$4:$AM$141)</f>
        <v>0</v>
      </c>
      <c r="AN152" s="24">
        <f>SUMIF($E$4:$E$141,"520",$AN$4:$AN$141)</f>
        <v>0</v>
      </c>
      <c r="AO152" s="24">
        <f>SUMIF($E$4:$E$141,"520",$AO$4:$AO$141)</f>
        <v>0</v>
      </c>
      <c r="AP152" s="24">
        <f>SUMIF($E$4:$E$141,"520",$AP$4:$AP$141)</f>
        <v>0</v>
      </c>
      <c r="AQ152" s="24">
        <f>SUMIF($E$4:$E$141,"520",$AQ$4:$AQ$141)</f>
        <v>0</v>
      </c>
      <c r="AR152" s="24">
        <f>SUMIF($E$4:$E$141,"520",$AR$4:$AR$141)</f>
        <v>0</v>
      </c>
      <c r="AS152" s="24">
        <f>SUMIF($E$4:$E$141,"520",$AS$4:$AS$141)</f>
        <v>0</v>
      </c>
      <c r="AT152" s="24">
        <f>SUMIF($E$4:$E$141,"520",$AT$4:$AT$141)</f>
        <v>0</v>
      </c>
      <c r="AU152" s="24">
        <f>SUMIF($E$4:$E$141,"520",$AU$4:$AU$141)</f>
        <v>0</v>
      </c>
      <c r="AV152" s="24">
        <f>SUMIF($E$4:$E$141,"520",$AV$4:$AV$141)</f>
        <v>1147808427</v>
      </c>
      <c r="AW152" s="24">
        <f>SUMIF($E$4:$E$141,"520",$AW$4:$AW$141)</f>
        <v>254812711</v>
      </c>
      <c r="AX152" s="24">
        <f>SUMIF($E$4:$E$141,"520",$AX$4:$AX$141)</f>
        <v>132163690</v>
      </c>
      <c r="AY152" s="24">
        <f>SUMIF($E$4:$E$141,"520",$AY$4:$AY$141)</f>
        <v>185055761</v>
      </c>
      <c r="AZ152" s="24">
        <f>SUMIF($E$4:$E$141,"520",$AZ$4:$AZ$141)</f>
        <v>0</v>
      </c>
      <c r="BA152" s="24">
        <f>SUMIF($E$4:$E$141,"520",$BA$4:$BA$141)</f>
        <v>0</v>
      </c>
      <c r="BB152" s="24">
        <f>SUMIF($E$4:$E$141,"520",$BB$4:$BB$141)</f>
        <v>0</v>
      </c>
      <c r="BC152" s="24">
        <f>SUMIF($E$4:$E$141,"520",$BC$4:$BC$141)</f>
        <v>748166035</v>
      </c>
      <c r="BD152" s="27">
        <f t="shared" si="393"/>
        <v>0.29743528702198085</v>
      </c>
      <c r="BE152" s="21">
        <f t="shared" si="394"/>
        <v>1351199701</v>
      </c>
      <c r="BF152" s="20">
        <f>SUMIF($E$4:$E$141,"520",$BF$4:$BF$141)</f>
        <v>0</v>
      </c>
      <c r="BG152" s="20">
        <f>SUMIF($E$4:$E$141,"520",$BG$4:$BG$141)</f>
        <v>111370421</v>
      </c>
      <c r="BH152" s="20">
        <f>SUMIF($E$4:$E$141,"520",$BH$4:$BH$141)</f>
        <v>0</v>
      </c>
      <c r="BI152" s="20">
        <f>SUMIF($E$4:$E$141,"520",$BI$4:$BI$141)</f>
        <v>114000000</v>
      </c>
      <c r="BJ152" s="20">
        <f>SUMIF($E$4:$E$141,"520",$BJ$4:$BJ$141)</f>
        <v>0</v>
      </c>
      <c r="BK152" s="20">
        <f>SUMIF($E$4:$E$141,"520",$BK$4:$BK$141)</f>
        <v>0</v>
      </c>
      <c r="BL152" s="20">
        <f>SUMIF($E$4:$E$141,"520",$BL$4:$BL$141)</f>
        <v>0</v>
      </c>
      <c r="BM152" s="20">
        <f>SUMIF($E$4:$E$141,"520",$BM$4:$BM$141)</f>
        <v>0</v>
      </c>
      <c r="BN152" s="20">
        <f>SUMIF($E$4:$E$141,"520",$BN$4:$BN$141)</f>
        <v>0</v>
      </c>
      <c r="BO152" s="20">
        <f>SUMIF($E$4:$E$141,"520",$BO$4:$BO$141)</f>
        <v>0</v>
      </c>
      <c r="BP152" s="20">
        <f>SUMIF($E$4:$E$141,"520",$BP$4:$BP$141)</f>
        <v>0</v>
      </c>
      <c r="BQ152" s="20">
        <f>SUMIF($E$4:$E$141,"520",$BQ$4:$BQ$141)</f>
        <v>0</v>
      </c>
      <c r="BR152" s="20">
        <f>SUMIF($E$4:$E$141,"520",$BR$4:$BR$141)</f>
        <v>0</v>
      </c>
      <c r="BS152" s="20">
        <f>SUMIF($E$4:$E$141,"520",$BS$4:$BS$141)</f>
        <v>0</v>
      </c>
      <c r="BT152" s="20">
        <f>SUMIF($E$4:$E$141,"520",$BT$4:$BT$141)</f>
        <v>0</v>
      </c>
      <c r="BU152" s="20">
        <f>SUMIF($E$4:$E$141,"520",$BU$4:$BU$141)</f>
        <v>967809826</v>
      </c>
      <c r="BV152" s="20">
        <f>SUMIF($E$4:$E$141,"520",$BV$4:$BV$141)</f>
        <v>57187289</v>
      </c>
      <c r="BW152" s="20">
        <f>SUMIF($E$4:$E$141,"520",$BW$4:$BW$141)</f>
        <v>401840</v>
      </c>
      <c r="BX152" s="20">
        <f>SUMIF($E$4:$E$141,"520",$BX$4:$BX$141)</f>
        <v>24944239</v>
      </c>
      <c r="BY152" s="20">
        <f>SUMIF($E$4:$E$141,"520",$BY$4:$BY$141)</f>
        <v>0</v>
      </c>
      <c r="BZ152" s="20">
        <f>SUMIF($E$4:$E$141,"520",$BZ$4:$BZ$141)</f>
        <v>0</v>
      </c>
      <c r="CA152" s="20">
        <f>SUMIF($E$4:$E$141,"520",$CA$4:$CA$141)</f>
        <v>0</v>
      </c>
      <c r="CB152" s="26">
        <f>SUMIF($E$4:$E$141,"520",$CB$4:$CB$141)</f>
        <v>75486086</v>
      </c>
      <c r="CC152" s="25">
        <f t="shared" si="395"/>
        <v>0.62252565440673246</v>
      </c>
      <c r="CD152" s="21">
        <f t="shared" si="396"/>
        <v>2828031894</v>
      </c>
      <c r="CE152" s="24">
        <f>SUMIF($E$4:$E$141,"520",$CE$4:$CE$141)</f>
        <v>0</v>
      </c>
      <c r="CF152" s="24">
        <f>SUMIF($E$4:$E$141,"520",$CF$4:$CF$141)</f>
        <v>690697980</v>
      </c>
      <c r="CG152" s="24">
        <f>SUMIF($E$4:$E$141,"520",$CG$4:$CG$141)</f>
        <v>0</v>
      </c>
      <c r="CH152" s="24">
        <f>SUMIF($E$4:$E$141,"520",$CH$4:$CH$141)</f>
        <v>0</v>
      </c>
      <c r="CI152" s="24">
        <f>SUMIF($E$4:$E$141,"520",$CI$4:$CI$141)</f>
        <v>0</v>
      </c>
      <c r="CJ152" s="24">
        <f>SUMIF($E$4:$E$141,"520",$CJ$4:$CJ$141)</f>
        <v>0</v>
      </c>
      <c r="CK152" s="24">
        <f>SUMIF($E$4:$E$141,"520",$CK$4:$CK$141)</f>
        <v>0</v>
      </c>
      <c r="CL152" s="24">
        <f>SUMIF($E$4:$E$141,"520",$CL$4:$CL$141)</f>
        <v>0</v>
      </c>
      <c r="CM152" s="24">
        <f>SUMIF($E$4:$E$141,"520",$CM$4:$CM$141)</f>
        <v>0</v>
      </c>
      <c r="CN152" s="24">
        <f>SUMIF($E$4:$E$141,"520",$CN$4:$CN$141)</f>
        <v>0</v>
      </c>
      <c r="CO152" s="24">
        <f>SUMIF($E$4:$E$141,"520",$CO$4:$CO$141)</f>
        <v>0</v>
      </c>
      <c r="CP152" s="24">
        <f>SUMIF($E$4:$E$141,"520",$CP$4:$CP$141)</f>
        <v>0</v>
      </c>
      <c r="CQ152" s="24">
        <f>SUMIF($E$4:$E$141,"520",$CQ$4:$CQ$141)</f>
        <v>0</v>
      </c>
      <c r="CR152" s="24">
        <f>SUMIF($E$4:$E$141,"520",$CR$4:$CR$141)</f>
        <v>0</v>
      </c>
      <c r="CS152" s="24">
        <f>SUMIF($E$4:$E$141,"520",$CS$4:$CS$141)</f>
        <v>0</v>
      </c>
      <c r="CT152" s="24">
        <f>SUMIF($E$4:$E$141,"520",$CT$4:$CT$141)</f>
        <v>925151991</v>
      </c>
      <c r="CU152" s="24">
        <f>SUMIF($E$4:$E$141,"520",$CU$4:$CU$141)</f>
        <v>232990834</v>
      </c>
      <c r="CV152" s="24">
        <f>SUMIF($E$4:$E$141,"520",$CV$4:$CV$141)</f>
        <v>131194801</v>
      </c>
      <c r="CW152" s="24">
        <f>SUMIF($E$4:$E$141,"520",$CW$4:$CW$141)</f>
        <v>174779088</v>
      </c>
      <c r="CX152" s="24">
        <f>SUMIF($E$4:$E$141,"520",$CX$4:$CX$141)</f>
        <v>0</v>
      </c>
      <c r="CY152" s="24">
        <f>SUMIF($E$4:$E$141,"520",$CY$4:$CY$141)</f>
        <v>0</v>
      </c>
      <c r="CZ152" s="24">
        <f>SUMIF($E$4:$E$141,"520",$CZ$4:$CZ$141)</f>
        <v>0</v>
      </c>
      <c r="DA152" s="23">
        <f>SUMIF($E$4:$E$141,"520",$DA$4:$DA$141)</f>
        <v>673217200</v>
      </c>
      <c r="DB152" s="22">
        <f t="shared" si="397"/>
        <v>0.37747434559326754</v>
      </c>
      <c r="DC152" s="21">
        <f t="shared" si="398"/>
        <v>1714804010</v>
      </c>
      <c r="DD152" s="20">
        <f>SUMIF($E$4:$E$141,"520",$DD$4:$DD$141)</f>
        <v>0</v>
      </c>
      <c r="DE152" s="20">
        <f>SUMIF($E$4:$E$141,"520",$DE$4:$DE$141)</f>
        <v>144302020</v>
      </c>
      <c r="DF152" s="20">
        <f>SUMIF($E$4:$E$141,"520",$DF$4:$DF$141)</f>
        <v>0</v>
      </c>
      <c r="DG152" s="20">
        <f>SUMIF($E$4:$E$141,"520",$DG$4:$DG$141)</f>
        <v>114000000</v>
      </c>
      <c r="DH152" s="20">
        <f>SUMIF($E$4:$E$141,"520",$DH$4:$DH$141)</f>
        <v>0</v>
      </c>
      <c r="DI152" s="20">
        <f>SUMIF($E$4:$E$141,"520",$DI$4:$DI$141)</f>
        <v>0</v>
      </c>
      <c r="DJ152" s="20">
        <f>SUMIF($E$4:$E$141,"520",$DJ$4:$DJ$141)</f>
        <v>0</v>
      </c>
      <c r="DK152" s="20">
        <f>SUMIF($E$4:$E$141,"520",$DK$4:$DK$141)</f>
        <v>0</v>
      </c>
      <c r="DL152" s="20">
        <f>SUMIF($E$4:$E$141,"520",$DL$4:$DL$141)</f>
        <v>0</v>
      </c>
      <c r="DM152" s="20">
        <f>SUMIF($E$4:$E$141,"520",$DM$4:$DM$141)</f>
        <v>0</v>
      </c>
      <c r="DN152" s="19">
        <f>SUMIF($E$4:$E$141,"520",$DN$4:$DN$141)</f>
        <v>0</v>
      </c>
      <c r="DO152" s="19">
        <f>SUMIF($E$4:$E$141,"520",$DO$4:$DO$141)</f>
        <v>0</v>
      </c>
      <c r="DP152" s="19">
        <f>SUMIF($E$4:$E$141,"520",$DP$4:$DP$141)</f>
        <v>0</v>
      </c>
      <c r="DQ152" s="19">
        <f>SUMIF($E$4:$E$141,"520",$DQ$4:$DQ$141)</f>
        <v>0</v>
      </c>
      <c r="DR152" s="19">
        <f>SUMIF($E$4:$E$141,"520",$DR$4:$DR$141)</f>
        <v>0</v>
      </c>
      <c r="DS152" s="19">
        <f>SUMIF($E$4:$E$141,"520",$DS$4:$DS$141)</f>
        <v>1190466262</v>
      </c>
      <c r="DT152" s="19">
        <f>SUMIF($E$4:$E$141,"520",$DT$4:$DT$141)</f>
        <v>79009166</v>
      </c>
      <c r="DU152" s="19">
        <f>SUMIF($E$4:$E$141,"520",$DU$4:$DU$141)</f>
        <v>1370729</v>
      </c>
      <c r="DV152" s="19">
        <f>SUMIF($E$4:$E$141,"520",$DV$4:$DV$141)</f>
        <v>35220912</v>
      </c>
      <c r="DW152" s="19">
        <f>SUMIF($E$4:$E$141,"520",$DW$4:$DW$141)</f>
        <v>0</v>
      </c>
      <c r="DX152" s="19">
        <f>SUMIF($E$4:$E$141,"520",$DX$4:$DX$141)</f>
        <v>0</v>
      </c>
      <c r="DY152" s="19">
        <f>SUMIF($E$4:$E$141,"520",$DY$4:$DY$141)</f>
        <v>0</v>
      </c>
      <c r="DZ152" s="19">
        <f>SUMIF($E$4:$E$141,"520",$DZ$4:$DZ$141)</f>
        <v>150434921</v>
      </c>
      <c r="EB152" s="9">
        <f t="shared" si="399"/>
        <v>4542835904</v>
      </c>
      <c r="EC152" s="9">
        <f t="shared" si="400"/>
        <v>4542835904</v>
      </c>
      <c r="ED152" s="9">
        <f t="shared" si="401"/>
        <v>4542835904</v>
      </c>
    </row>
    <row r="153" spans="3:136" ht="15" thickBot="1" x14ac:dyDescent="0.35">
      <c r="C153" s="203" t="s">
        <v>11</v>
      </c>
      <c r="D153" s="204"/>
      <c r="E153" s="18"/>
      <c r="F153" s="17"/>
      <c r="G153" s="8">
        <f t="shared" ref="G153:AD153" si="402">SUM(G146:G152)</f>
        <v>42445623888</v>
      </c>
      <c r="H153" s="8">
        <f t="shared" si="402"/>
        <v>467762013</v>
      </c>
      <c r="I153" s="8">
        <f t="shared" si="402"/>
        <v>2969410598</v>
      </c>
      <c r="J153" s="8">
        <f t="shared" si="402"/>
        <v>80644090</v>
      </c>
      <c r="K153" s="8">
        <f t="shared" si="402"/>
        <v>2311816144</v>
      </c>
      <c r="L153" s="8">
        <f t="shared" si="402"/>
        <v>10500000000</v>
      </c>
      <c r="M153" s="8">
        <f t="shared" si="402"/>
        <v>208000000</v>
      </c>
      <c r="N153" s="8">
        <f t="shared" si="402"/>
        <v>244096406</v>
      </c>
      <c r="O153" s="8">
        <f t="shared" si="402"/>
        <v>4798861038</v>
      </c>
      <c r="P153" s="8">
        <f t="shared" si="402"/>
        <v>986590852</v>
      </c>
      <c r="Q153" s="8">
        <f t="shared" si="402"/>
        <v>899683955</v>
      </c>
      <c r="R153" s="8">
        <f t="shared" si="402"/>
        <v>833117257</v>
      </c>
      <c r="S153" s="16">
        <f t="shared" si="402"/>
        <v>797458202</v>
      </c>
      <c r="T153" s="16">
        <f t="shared" si="402"/>
        <v>151047242</v>
      </c>
      <c r="U153" s="8">
        <f t="shared" si="402"/>
        <v>177491556</v>
      </c>
      <c r="V153" s="16">
        <f t="shared" si="402"/>
        <v>247290061</v>
      </c>
      <c r="W153" s="8">
        <f t="shared" si="402"/>
        <v>5673269814</v>
      </c>
      <c r="X153" s="8">
        <f t="shared" si="402"/>
        <v>1161806613</v>
      </c>
      <c r="Y153" s="8">
        <f t="shared" si="402"/>
        <v>1841680997</v>
      </c>
      <c r="Z153" s="8">
        <f t="shared" si="402"/>
        <v>1651021615</v>
      </c>
      <c r="AA153" s="8">
        <f t="shared" si="402"/>
        <v>1770728185</v>
      </c>
      <c r="AB153" s="8">
        <f t="shared" si="402"/>
        <v>453752865</v>
      </c>
      <c r="AC153" s="8">
        <f t="shared" si="402"/>
        <v>1337681906</v>
      </c>
      <c r="AD153" s="8">
        <f t="shared" si="402"/>
        <v>2882412479</v>
      </c>
      <c r="AE153" s="15">
        <f t="shared" si="392"/>
        <v>0.58245585920082255</v>
      </c>
      <c r="AF153" s="13">
        <f t="shared" ref="AF153:BC153" si="403">SUM(AF146:AF152)</f>
        <v>24722702331</v>
      </c>
      <c r="AG153" s="13">
        <f t="shared" si="403"/>
        <v>444103222</v>
      </c>
      <c r="AH153" s="13">
        <f t="shared" si="403"/>
        <v>2788518660</v>
      </c>
      <c r="AI153" s="13">
        <f t="shared" si="403"/>
        <v>71205370</v>
      </c>
      <c r="AJ153" s="13">
        <f t="shared" si="403"/>
        <v>1897816144</v>
      </c>
      <c r="AK153" s="13">
        <f t="shared" si="403"/>
        <v>0</v>
      </c>
      <c r="AL153" s="13">
        <f t="shared" si="403"/>
        <v>208000000</v>
      </c>
      <c r="AM153" s="13">
        <f t="shared" si="403"/>
        <v>236438964</v>
      </c>
      <c r="AN153" s="13">
        <f t="shared" si="403"/>
        <v>3990901707</v>
      </c>
      <c r="AO153" s="13">
        <f t="shared" si="403"/>
        <v>759278628</v>
      </c>
      <c r="AP153" s="13">
        <f t="shared" si="403"/>
        <v>685555509</v>
      </c>
      <c r="AQ153" s="13">
        <f t="shared" si="403"/>
        <v>618849766</v>
      </c>
      <c r="AR153" s="13">
        <f t="shared" si="403"/>
        <v>688781491</v>
      </c>
      <c r="AS153" s="13">
        <f t="shared" si="403"/>
        <v>46614681</v>
      </c>
      <c r="AT153" s="13">
        <f t="shared" si="403"/>
        <v>42390459</v>
      </c>
      <c r="AU153" s="13">
        <f t="shared" si="403"/>
        <v>229882999</v>
      </c>
      <c r="AV153" s="13">
        <f t="shared" si="403"/>
        <v>3026536885</v>
      </c>
      <c r="AW153" s="13">
        <f t="shared" si="403"/>
        <v>1040593732</v>
      </c>
      <c r="AX153" s="13">
        <f t="shared" si="403"/>
        <v>1690781737</v>
      </c>
      <c r="AY153" s="13">
        <f t="shared" si="403"/>
        <v>1231835487</v>
      </c>
      <c r="AZ153" s="13">
        <f t="shared" si="403"/>
        <v>1770547588</v>
      </c>
      <c r="BA153" s="13">
        <f t="shared" si="403"/>
        <v>254320879</v>
      </c>
      <c r="BB153" s="13">
        <f t="shared" si="403"/>
        <v>767292884</v>
      </c>
      <c r="BC153" s="13">
        <f t="shared" si="403"/>
        <v>2232455539</v>
      </c>
      <c r="BD153" s="14">
        <f t="shared" si="393"/>
        <v>0.41754414079917745</v>
      </c>
      <c r="BE153" s="13">
        <f t="shared" ref="BE153:CB153" si="404">SUM(BE146:BE152)</f>
        <v>17722921557</v>
      </c>
      <c r="BF153" s="13">
        <f t="shared" si="404"/>
        <v>23658791</v>
      </c>
      <c r="BG153" s="13">
        <f t="shared" si="404"/>
        <v>180891938</v>
      </c>
      <c r="BH153" s="13">
        <f t="shared" si="404"/>
        <v>9438720</v>
      </c>
      <c r="BI153" s="13">
        <f t="shared" si="404"/>
        <v>414000000</v>
      </c>
      <c r="BJ153" s="13">
        <f t="shared" si="404"/>
        <v>10500000000</v>
      </c>
      <c r="BK153" s="13">
        <f t="shared" si="404"/>
        <v>0</v>
      </c>
      <c r="BL153" s="13">
        <f t="shared" si="404"/>
        <v>7657442</v>
      </c>
      <c r="BM153" s="13">
        <f t="shared" si="404"/>
        <v>807959331</v>
      </c>
      <c r="BN153" s="13">
        <f t="shared" si="404"/>
        <v>227312224</v>
      </c>
      <c r="BO153" s="13">
        <f t="shared" si="404"/>
        <v>214128446</v>
      </c>
      <c r="BP153" s="13">
        <f t="shared" si="404"/>
        <v>214267491</v>
      </c>
      <c r="BQ153" s="13">
        <f t="shared" si="404"/>
        <v>108676711</v>
      </c>
      <c r="BR153" s="13">
        <f t="shared" si="404"/>
        <v>104432561</v>
      </c>
      <c r="BS153" s="13">
        <f t="shared" si="404"/>
        <v>135101097</v>
      </c>
      <c r="BT153" s="13">
        <f t="shared" si="404"/>
        <v>17407062</v>
      </c>
      <c r="BU153" s="13">
        <f t="shared" si="404"/>
        <v>2646732929</v>
      </c>
      <c r="BV153" s="13">
        <f t="shared" si="404"/>
        <v>121212881</v>
      </c>
      <c r="BW153" s="13">
        <f t="shared" si="404"/>
        <v>150899260</v>
      </c>
      <c r="BX153" s="13">
        <f t="shared" si="404"/>
        <v>419186128</v>
      </c>
      <c r="BY153" s="13">
        <f t="shared" si="404"/>
        <v>180597</v>
      </c>
      <c r="BZ153" s="13">
        <f t="shared" si="404"/>
        <v>199431986</v>
      </c>
      <c r="CA153" s="13">
        <f t="shared" si="404"/>
        <v>570389022</v>
      </c>
      <c r="CB153" s="13">
        <f t="shared" si="404"/>
        <v>649956940</v>
      </c>
      <c r="CC153" s="12">
        <f t="shared" si="395"/>
        <v>0.4264634142912801</v>
      </c>
      <c r="CD153" s="11">
        <f t="shared" ref="CD153:DA153" si="405">SUM(CD146:CD152)</f>
        <v>18101505685</v>
      </c>
      <c r="CE153" s="11">
        <f t="shared" si="405"/>
        <v>442882518</v>
      </c>
      <c r="CF153" s="11">
        <f t="shared" si="405"/>
        <v>2588308982</v>
      </c>
      <c r="CG153" s="11">
        <f t="shared" si="405"/>
        <v>33329347</v>
      </c>
      <c r="CH153" s="11">
        <f t="shared" si="405"/>
        <v>108959308</v>
      </c>
      <c r="CI153" s="11">
        <f t="shared" si="405"/>
        <v>0</v>
      </c>
      <c r="CJ153" s="11">
        <f t="shared" si="405"/>
        <v>205876669</v>
      </c>
      <c r="CK153" s="11">
        <f t="shared" si="405"/>
        <v>236438964</v>
      </c>
      <c r="CL153" s="11">
        <f t="shared" si="405"/>
        <v>3159032839</v>
      </c>
      <c r="CM153" s="11">
        <f t="shared" si="405"/>
        <v>320274188</v>
      </c>
      <c r="CN153" s="11">
        <f t="shared" si="405"/>
        <v>248769928</v>
      </c>
      <c r="CO153" s="11">
        <f t="shared" si="405"/>
        <v>584278464</v>
      </c>
      <c r="CP153" s="11">
        <f t="shared" si="405"/>
        <v>508099968</v>
      </c>
      <c r="CQ153" s="11">
        <f t="shared" si="405"/>
        <v>1614681</v>
      </c>
      <c r="CR153" s="11">
        <f t="shared" si="405"/>
        <v>13320090</v>
      </c>
      <c r="CS153" s="11">
        <f t="shared" si="405"/>
        <v>54752821</v>
      </c>
      <c r="CT153" s="11">
        <f t="shared" si="405"/>
        <v>1992811986</v>
      </c>
      <c r="CU153" s="11">
        <f t="shared" si="405"/>
        <v>936884459</v>
      </c>
      <c r="CV153" s="11">
        <f t="shared" si="405"/>
        <v>1626945020</v>
      </c>
      <c r="CW153" s="11">
        <f t="shared" si="405"/>
        <v>850519868</v>
      </c>
      <c r="CX153" s="11">
        <f t="shared" si="405"/>
        <v>1694221856</v>
      </c>
      <c r="CY153" s="11">
        <f t="shared" si="405"/>
        <v>208651389</v>
      </c>
      <c r="CZ153" s="11">
        <f t="shared" si="405"/>
        <v>611344094</v>
      </c>
      <c r="DA153" s="11">
        <f t="shared" si="405"/>
        <v>1674188246</v>
      </c>
      <c r="DB153" s="10">
        <f t="shared" si="397"/>
        <v>0.5735365857087199</v>
      </c>
      <c r="DC153" s="8">
        <f t="shared" ref="DC153:DZ153" ca="1" si="406">SUM(DC146:DC152)</f>
        <v>24344118203</v>
      </c>
      <c r="DD153" s="8">
        <f t="shared" ca="1" si="406"/>
        <v>24879495</v>
      </c>
      <c r="DE153" s="8">
        <f t="shared" si="406"/>
        <v>381101616</v>
      </c>
      <c r="DF153" s="8">
        <f t="shared" si="406"/>
        <v>47314743</v>
      </c>
      <c r="DG153" s="8">
        <f t="shared" si="406"/>
        <v>2202856836</v>
      </c>
      <c r="DH153" s="8">
        <f t="shared" si="406"/>
        <v>10500000000</v>
      </c>
      <c r="DI153" s="8">
        <f t="shared" si="406"/>
        <v>2123331</v>
      </c>
      <c r="DJ153" s="8">
        <f t="shared" si="406"/>
        <v>7657442</v>
      </c>
      <c r="DK153" s="8">
        <f t="shared" si="406"/>
        <v>1639828199</v>
      </c>
      <c r="DL153" s="8">
        <f t="shared" si="406"/>
        <v>666316664</v>
      </c>
      <c r="DM153" s="8">
        <f t="shared" si="406"/>
        <v>650914027</v>
      </c>
      <c r="DN153" s="8">
        <f t="shared" si="406"/>
        <v>248838793</v>
      </c>
      <c r="DO153" s="8">
        <f t="shared" si="406"/>
        <v>289358234</v>
      </c>
      <c r="DP153" s="8">
        <f t="shared" si="406"/>
        <v>149432561</v>
      </c>
      <c r="DQ153" s="8">
        <f t="shared" si="406"/>
        <v>164171466</v>
      </c>
      <c r="DR153" s="8">
        <f t="shared" si="406"/>
        <v>192537240</v>
      </c>
      <c r="DS153" s="8">
        <f t="shared" si="406"/>
        <v>3680457828</v>
      </c>
      <c r="DT153" s="8">
        <f t="shared" si="406"/>
        <v>224922154</v>
      </c>
      <c r="DU153" s="8">
        <f t="shared" si="406"/>
        <v>214735977</v>
      </c>
      <c r="DV153" s="8">
        <f t="shared" si="406"/>
        <v>800501747</v>
      </c>
      <c r="DW153" s="8">
        <f t="shared" si="406"/>
        <v>76506329</v>
      </c>
      <c r="DX153" s="8">
        <f t="shared" si="406"/>
        <v>245101476</v>
      </c>
      <c r="DY153" s="8">
        <f t="shared" si="406"/>
        <v>726337812</v>
      </c>
      <c r="DZ153" s="8">
        <f t="shared" si="406"/>
        <v>1208224233</v>
      </c>
      <c r="EB153" s="9">
        <f t="shared" si="399"/>
        <v>42445623888</v>
      </c>
      <c r="EC153" s="9">
        <f>AF153+BE153</f>
        <v>42445623888</v>
      </c>
      <c r="ED153" s="9">
        <f t="shared" ca="1" si="401"/>
        <v>42445623888</v>
      </c>
    </row>
    <row r="154" spans="3:136" ht="15" thickTop="1" x14ac:dyDescent="0.3">
      <c r="G154" s="4">
        <f t="shared" ref="G154:AD154" si="407">+G144-G153</f>
        <v>0</v>
      </c>
      <c r="H154" s="4">
        <f t="shared" si="407"/>
        <v>0</v>
      </c>
      <c r="I154" s="4">
        <f t="shared" si="407"/>
        <v>0</v>
      </c>
      <c r="J154" s="4">
        <f t="shared" si="407"/>
        <v>0</v>
      </c>
      <c r="K154" s="4">
        <f t="shared" si="407"/>
        <v>0</v>
      </c>
      <c r="L154" s="4">
        <f t="shared" si="407"/>
        <v>0</v>
      </c>
      <c r="M154" s="4">
        <f t="shared" si="407"/>
        <v>0</v>
      </c>
      <c r="N154" s="4">
        <f t="shared" si="407"/>
        <v>0</v>
      </c>
      <c r="O154" s="4">
        <f t="shared" si="407"/>
        <v>0</v>
      </c>
      <c r="P154" s="4">
        <f t="shared" si="407"/>
        <v>0</v>
      </c>
      <c r="Q154" s="4">
        <f t="shared" si="407"/>
        <v>0</v>
      </c>
      <c r="R154" s="4">
        <f t="shared" si="407"/>
        <v>0</v>
      </c>
      <c r="S154" s="4">
        <f t="shared" si="407"/>
        <v>0</v>
      </c>
      <c r="T154" s="4">
        <f t="shared" si="407"/>
        <v>0</v>
      </c>
      <c r="U154" s="4">
        <f t="shared" si="407"/>
        <v>0</v>
      </c>
      <c r="V154" s="4">
        <f t="shared" si="407"/>
        <v>0</v>
      </c>
      <c r="W154" s="4">
        <f t="shared" si="407"/>
        <v>0</v>
      </c>
      <c r="X154" s="4">
        <f t="shared" si="407"/>
        <v>0</v>
      </c>
      <c r="Y154" s="4">
        <f t="shared" si="407"/>
        <v>0</v>
      </c>
      <c r="Z154" s="4">
        <f t="shared" si="407"/>
        <v>0</v>
      </c>
      <c r="AA154" s="4">
        <f t="shared" si="407"/>
        <v>0</v>
      </c>
      <c r="AB154" s="4">
        <f t="shared" si="407"/>
        <v>0</v>
      </c>
      <c r="AC154" s="4">
        <f t="shared" si="407"/>
        <v>0</v>
      </c>
      <c r="AD154" s="4">
        <f t="shared" si="407"/>
        <v>0</v>
      </c>
      <c r="AF154" s="4">
        <f>+AF144-AF153</f>
        <v>0</v>
      </c>
      <c r="AG154" s="4">
        <f>+AG144-AG153</f>
        <v>0</v>
      </c>
      <c r="AH154" s="4">
        <f>+AH144-AH153</f>
        <v>0</v>
      </c>
      <c r="AI154" s="4">
        <f>+AI144-AI153</f>
        <v>0</v>
      </c>
      <c r="AJ154" s="4"/>
      <c r="AK154" s="4">
        <f t="shared" ref="AK154:BC154" si="408">+AK144-AK153</f>
        <v>0</v>
      </c>
      <c r="AL154" s="4">
        <f t="shared" si="408"/>
        <v>0</v>
      </c>
      <c r="AM154" s="4">
        <f t="shared" si="408"/>
        <v>0</v>
      </c>
      <c r="AN154" s="4">
        <f t="shared" si="408"/>
        <v>0</v>
      </c>
      <c r="AO154" s="4">
        <f t="shared" si="408"/>
        <v>0</v>
      </c>
      <c r="AP154" s="4">
        <f t="shared" si="408"/>
        <v>0</v>
      </c>
      <c r="AQ154" s="4">
        <f t="shared" si="408"/>
        <v>0</v>
      </c>
      <c r="AR154" s="4">
        <f t="shared" si="408"/>
        <v>0</v>
      </c>
      <c r="AS154" s="4">
        <f t="shared" si="408"/>
        <v>0</v>
      </c>
      <c r="AT154" s="4">
        <f t="shared" si="408"/>
        <v>0</v>
      </c>
      <c r="AU154" s="4">
        <f t="shared" si="408"/>
        <v>0</v>
      </c>
      <c r="AV154" s="4">
        <f t="shared" si="408"/>
        <v>0</v>
      </c>
      <c r="AW154" s="4">
        <f t="shared" si="408"/>
        <v>0</v>
      </c>
      <c r="AX154" s="4">
        <f t="shared" si="408"/>
        <v>0</v>
      </c>
      <c r="AY154" s="4">
        <f t="shared" si="408"/>
        <v>0</v>
      </c>
      <c r="AZ154" s="4">
        <f t="shared" si="408"/>
        <v>0</v>
      </c>
      <c r="BA154" s="4">
        <f t="shared" si="408"/>
        <v>0</v>
      </c>
      <c r="BB154" s="4">
        <f t="shared" si="408"/>
        <v>0</v>
      </c>
      <c r="BC154" s="4">
        <f t="shared" si="408"/>
        <v>0</v>
      </c>
      <c r="BE154" s="4">
        <f t="shared" ref="BE154:BZ154" si="409">+BE144-BE153</f>
        <v>0</v>
      </c>
      <c r="BF154" s="4">
        <f t="shared" si="409"/>
        <v>0</v>
      </c>
      <c r="BG154" s="4">
        <f t="shared" si="409"/>
        <v>0</v>
      </c>
      <c r="BH154" s="4">
        <f t="shared" si="409"/>
        <v>0</v>
      </c>
      <c r="BI154" s="4">
        <f t="shared" si="409"/>
        <v>0</v>
      </c>
      <c r="BJ154" s="4">
        <f t="shared" si="409"/>
        <v>0</v>
      </c>
      <c r="BK154" s="4">
        <f t="shared" si="409"/>
        <v>0</v>
      </c>
      <c r="BL154" s="4">
        <f t="shared" si="409"/>
        <v>0</v>
      </c>
      <c r="BM154" s="4">
        <f t="shared" si="409"/>
        <v>0</v>
      </c>
      <c r="BN154" s="4">
        <f t="shared" si="409"/>
        <v>0</v>
      </c>
      <c r="BO154" s="4">
        <f t="shared" si="409"/>
        <v>0</v>
      </c>
      <c r="BP154" s="4">
        <f t="shared" si="409"/>
        <v>0</v>
      </c>
      <c r="BQ154" s="4">
        <f t="shared" si="409"/>
        <v>0</v>
      </c>
      <c r="BR154" s="4">
        <f t="shared" si="409"/>
        <v>0</v>
      </c>
      <c r="BS154" s="4">
        <f t="shared" si="409"/>
        <v>0</v>
      </c>
      <c r="BT154" s="4">
        <f t="shared" si="409"/>
        <v>0</v>
      </c>
      <c r="BU154" s="4">
        <f t="shared" si="409"/>
        <v>0</v>
      </c>
      <c r="BV154" s="4">
        <f t="shared" si="409"/>
        <v>0</v>
      </c>
      <c r="BW154" s="4">
        <f t="shared" si="409"/>
        <v>0</v>
      </c>
      <c r="BX154" s="4">
        <f t="shared" si="409"/>
        <v>0</v>
      </c>
      <c r="BY154" s="4">
        <f t="shared" si="409"/>
        <v>0</v>
      </c>
      <c r="BZ154" s="4">
        <f t="shared" si="409"/>
        <v>0</v>
      </c>
      <c r="CA154" s="4"/>
      <c r="CB154" s="4">
        <f t="shared" ref="CB154:CY154" si="410">+CB144-CB153</f>
        <v>0</v>
      </c>
      <c r="CC154" s="4">
        <f t="shared" si="410"/>
        <v>0</v>
      </c>
      <c r="CD154" s="4">
        <f t="shared" si="410"/>
        <v>0</v>
      </c>
      <c r="CE154" s="4">
        <f t="shared" si="410"/>
        <v>0</v>
      </c>
      <c r="CF154" s="4">
        <f t="shared" si="410"/>
        <v>0</v>
      </c>
      <c r="CG154" s="4">
        <f t="shared" si="410"/>
        <v>0</v>
      </c>
      <c r="CH154" s="4">
        <f t="shared" si="410"/>
        <v>0</v>
      </c>
      <c r="CI154" s="4">
        <f t="shared" si="410"/>
        <v>0</v>
      </c>
      <c r="CJ154" s="4">
        <f t="shared" si="410"/>
        <v>0</v>
      </c>
      <c r="CK154" s="4">
        <f t="shared" si="410"/>
        <v>0</v>
      </c>
      <c r="CL154" s="4">
        <f t="shared" si="410"/>
        <v>0</v>
      </c>
      <c r="CM154" s="4">
        <f t="shared" si="410"/>
        <v>0</v>
      </c>
      <c r="CN154" s="4">
        <f t="shared" si="410"/>
        <v>0</v>
      </c>
      <c r="CO154" s="4">
        <f t="shared" si="410"/>
        <v>0</v>
      </c>
      <c r="CP154" s="4">
        <f t="shared" si="410"/>
        <v>0</v>
      </c>
      <c r="CQ154" s="4">
        <f t="shared" si="410"/>
        <v>0</v>
      </c>
      <c r="CR154" s="4">
        <f t="shared" si="410"/>
        <v>0</v>
      </c>
      <c r="CS154" s="4">
        <f t="shared" si="410"/>
        <v>0</v>
      </c>
      <c r="CT154" s="4">
        <f t="shared" si="410"/>
        <v>0</v>
      </c>
      <c r="CU154" s="4">
        <f t="shared" si="410"/>
        <v>0</v>
      </c>
      <c r="CV154" s="4">
        <f t="shared" si="410"/>
        <v>0</v>
      </c>
      <c r="CW154" s="4">
        <f t="shared" si="410"/>
        <v>0</v>
      </c>
      <c r="CX154" s="4">
        <f t="shared" si="410"/>
        <v>0</v>
      </c>
      <c r="CY154" s="4">
        <f t="shared" si="410"/>
        <v>0</v>
      </c>
      <c r="CZ154" s="4"/>
      <c r="DA154" s="4">
        <f t="shared" ref="DA154:DZ154" si="411">+DA144-DA153</f>
        <v>0</v>
      </c>
      <c r="DB154" s="4">
        <f t="shared" si="411"/>
        <v>0</v>
      </c>
      <c r="DC154" s="4">
        <f t="shared" ca="1" si="411"/>
        <v>0</v>
      </c>
      <c r="DD154" s="4">
        <f t="shared" ca="1" si="411"/>
        <v>0</v>
      </c>
      <c r="DE154" s="4">
        <f t="shared" si="411"/>
        <v>0</v>
      </c>
      <c r="DF154" s="4">
        <f t="shared" si="411"/>
        <v>0</v>
      </c>
      <c r="DG154" s="4">
        <f t="shared" si="411"/>
        <v>0</v>
      </c>
      <c r="DH154" s="4">
        <f t="shared" si="411"/>
        <v>0</v>
      </c>
      <c r="DI154" s="4">
        <f t="shared" si="411"/>
        <v>0</v>
      </c>
      <c r="DJ154" s="4">
        <f t="shared" si="411"/>
        <v>0</v>
      </c>
      <c r="DK154" s="4">
        <f t="shared" si="411"/>
        <v>0</v>
      </c>
      <c r="DL154" s="4">
        <f t="shared" si="411"/>
        <v>0</v>
      </c>
      <c r="DM154" s="4">
        <f t="shared" si="411"/>
        <v>0</v>
      </c>
      <c r="DN154" s="4">
        <f t="shared" si="411"/>
        <v>0</v>
      </c>
      <c r="DO154" s="4">
        <f t="shared" si="411"/>
        <v>0</v>
      </c>
      <c r="DP154" s="4">
        <f t="shared" si="411"/>
        <v>0</v>
      </c>
      <c r="DQ154" s="4">
        <f t="shared" si="411"/>
        <v>0</v>
      </c>
      <c r="DR154" s="4">
        <f t="shared" si="411"/>
        <v>0</v>
      </c>
      <c r="DS154" s="4">
        <f t="shared" si="411"/>
        <v>0</v>
      </c>
      <c r="DT154" s="4">
        <f t="shared" si="411"/>
        <v>0</v>
      </c>
      <c r="DU154" s="4">
        <f t="shared" si="411"/>
        <v>0</v>
      </c>
      <c r="DV154" s="4">
        <f t="shared" si="411"/>
        <v>0</v>
      </c>
      <c r="DW154" s="4">
        <f t="shared" si="411"/>
        <v>0</v>
      </c>
      <c r="DX154" s="4">
        <f t="shared" si="411"/>
        <v>0</v>
      </c>
      <c r="DY154" s="4">
        <f t="shared" si="411"/>
        <v>0</v>
      </c>
      <c r="DZ154" s="4">
        <f t="shared" si="411"/>
        <v>0</v>
      </c>
      <c r="EC154" s="4"/>
    </row>
    <row r="155" spans="3:136" ht="15" thickBot="1" x14ac:dyDescent="0.35">
      <c r="G155" s="8">
        <v>42445623888</v>
      </c>
    </row>
    <row r="156" spans="3:136" ht="15" thickTop="1" x14ac:dyDescent="0.3">
      <c r="G156" s="7"/>
      <c r="Z156" s="4"/>
      <c r="AD156" s="4"/>
    </row>
    <row r="157" spans="3:136" x14ac:dyDescent="0.3">
      <c r="D157" s="205" t="s">
        <v>10</v>
      </c>
      <c r="E157" s="206"/>
      <c r="F157" s="7"/>
      <c r="G157" s="6" t="s">
        <v>9</v>
      </c>
      <c r="Z157" s="4"/>
      <c r="AC157" s="4"/>
      <c r="AD157" s="4"/>
      <c r="AF157" s="4"/>
    </row>
    <row r="158" spans="3:136" ht="15.6" x14ac:dyDescent="0.3">
      <c r="D158" s="198" t="s">
        <v>8</v>
      </c>
      <c r="E158" s="199"/>
      <c r="F158" s="5"/>
      <c r="G158" s="2">
        <f>SUM(G159:G162)</f>
        <v>380109141</v>
      </c>
      <c r="Z158" s="4"/>
      <c r="AC158" s="4"/>
      <c r="AD158" s="4"/>
    </row>
    <row r="159" spans="3:136" ht="15.6" x14ac:dyDescent="0.3">
      <c r="D159" s="196" t="s">
        <v>7</v>
      </c>
      <c r="E159" s="197"/>
      <c r="F159" s="5"/>
      <c r="G159" s="3">
        <f>150351774+102000000</f>
        <v>252351774</v>
      </c>
      <c r="BC159" s="4"/>
    </row>
    <row r="160" spans="3:136" ht="15.6" x14ac:dyDescent="0.3">
      <c r="D160" s="196" t="s">
        <v>6</v>
      </c>
      <c r="E160" s="197"/>
      <c r="G160" s="3">
        <f>31302788</f>
        <v>31302788</v>
      </c>
      <c r="AC160" s="4"/>
    </row>
    <row r="161" spans="4:7" ht="15.6" x14ac:dyDescent="0.3">
      <c r="D161" s="196" t="s">
        <v>5</v>
      </c>
      <c r="E161" s="197"/>
      <c r="G161" s="3">
        <f>88067217</f>
        <v>88067217</v>
      </c>
    </row>
    <row r="162" spans="4:7" ht="15.6" x14ac:dyDescent="0.3">
      <c r="D162" s="196" t="s">
        <v>4</v>
      </c>
      <c r="E162" s="197"/>
      <c r="G162" s="3">
        <v>8387362</v>
      </c>
    </row>
    <row r="163" spans="4:7" ht="15.6" x14ac:dyDescent="0.3">
      <c r="D163" s="198" t="s">
        <v>3</v>
      </c>
      <c r="E163" s="199"/>
      <c r="G163" s="2">
        <f>G164+G165+G166+G167</f>
        <v>94090429</v>
      </c>
    </row>
    <row r="164" spans="4:7" ht="15.6" x14ac:dyDescent="0.3">
      <c r="D164" s="196" t="s">
        <v>2</v>
      </c>
      <c r="E164" s="197"/>
      <c r="G164" s="1">
        <v>4090429</v>
      </c>
    </row>
    <row r="165" spans="4:7" ht="15.6" x14ac:dyDescent="0.3">
      <c r="D165" s="196" t="s">
        <v>1</v>
      </c>
      <c r="E165" s="197"/>
      <c r="G165" s="1">
        <v>12000000</v>
      </c>
    </row>
    <row r="166" spans="4:7" ht="15.6" x14ac:dyDescent="0.3">
      <c r="D166" s="196" t="s">
        <v>1</v>
      </c>
      <c r="E166" s="197"/>
      <c r="G166" s="1">
        <v>35000000</v>
      </c>
    </row>
    <row r="167" spans="4:7" ht="15.6" x14ac:dyDescent="0.3">
      <c r="D167" s="196" t="s">
        <v>0</v>
      </c>
      <c r="E167" s="197"/>
      <c r="G167" s="1">
        <v>43000000</v>
      </c>
    </row>
  </sheetData>
  <mergeCells count="71">
    <mergeCell ref="DC1:DZ1"/>
    <mergeCell ref="C1:F1"/>
    <mergeCell ref="G1:AD1"/>
    <mergeCell ref="AF1:BC1"/>
    <mergeCell ref="BF1:CC1"/>
    <mergeCell ref="CD1:DA1"/>
    <mergeCell ref="B2:B3"/>
    <mergeCell ref="C2:C3"/>
    <mergeCell ref="D2:D3"/>
    <mergeCell ref="E2:E3"/>
    <mergeCell ref="B21:B25"/>
    <mergeCell ref="B40:B43"/>
    <mergeCell ref="B44:B50"/>
    <mergeCell ref="A59:A72"/>
    <mergeCell ref="DP2:DZ2"/>
    <mergeCell ref="B4:B9"/>
    <mergeCell ref="B10:B13"/>
    <mergeCell ref="B14:B20"/>
    <mergeCell ref="CE2:CQ2"/>
    <mergeCell ref="CT2:DA2"/>
    <mergeCell ref="G2:AD2"/>
    <mergeCell ref="AF2:BC2"/>
    <mergeCell ref="BF2:BQ2"/>
    <mergeCell ref="BR2:CB2"/>
    <mergeCell ref="F2:F3"/>
    <mergeCell ref="DC2:DO2"/>
    <mergeCell ref="A2:A3"/>
    <mergeCell ref="B26:B30"/>
    <mergeCell ref="B31:B32"/>
    <mergeCell ref="B33:B34"/>
    <mergeCell ref="B35:B38"/>
    <mergeCell ref="B39:E39"/>
    <mergeCell ref="B59:B62"/>
    <mergeCell ref="B63:B71"/>
    <mergeCell ref="B73:B74"/>
    <mergeCell ref="B80:E80"/>
    <mergeCell ref="A81:A92"/>
    <mergeCell ref="B81:B83"/>
    <mergeCell ref="B87:B94"/>
    <mergeCell ref="A75:A79"/>
    <mergeCell ref="B75:B76"/>
    <mergeCell ref="A133:A141"/>
    <mergeCell ref="B133:B139"/>
    <mergeCell ref="B140:B141"/>
    <mergeCell ref="B142:D142"/>
    <mergeCell ref="A96:A99"/>
    <mergeCell ref="B96:B97"/>
    <mergeCell ref="A100:A103"/>
    <mergeCell ref="B100:B101"/>
    <mergeCell ref="B104:F104"/>
    <mergeCell ref="A105:A116"/>
    <mergeCell ref="B105:B107"/>
    <mergeCell ref="B111:B112"/>
    <mergeCell ref="B118:B120"/>
    <mergeCell ref="B121:F121"/>
    <mergeCell ref="A122:A130"/>
    <mergeCell ref="B123:B124"/>
    <mergeCell ref="B125:B130"/>
    <mergeCell ref="D166:E166"/>
    <mergeCell ref="D167:E167"/>
    <mergeCell ref="D160:E160"/>
    <mergeCell ref="D161:E161"/>
    <mergeCell ref="D162:E162"/>
    <mergeCell ref="D163:E163"/>
    <mergeCell ref="D164:E164"/>
    <mergeCell ref="D165:E165"/>
    <mergeCell ref="C144:E144"/>
    <mergeCell ref="C153:D153"/>
    <mergeCell ref="D157:E157"/>
    <mergeCell ref="D158:E158"/>
    <mergeCell ref="D159:E159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4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E211"/>
  <sheetViews>
    <sheetView showGridLines="0" tabSelected="1" zoomScaleNormal="100" zoomScalePageLayoutView="50" workbookViewId="0">
      <pane xSplit="3" ySplit="4" topLeftCell="D5" activePane="bottomRight" state="frozen"/>
      <selection activeCell="Z102" sqref="Z102"/>
      <selection pane="topRight" activeCell="Z102" sqref="Z102"/>
      <selection pane="bottomLeft" activeCell="Z102" sqref="Z102"/>
      <selection pane="bottomRight" activeCell="CD201" sqref="CD201"/>
    </sheetView>
  </sheetViews>
  <sheetFormatPr baseColWidth="10" defaultRowHeight="14.4" x14ac:dyDescent="0.3"/>
  <cols>
    <col min="1" max="1" width="4.88671875" hidden="1" customWidth="1"/>
    <col min="2" max="2" width="36.21875" hidden="1" customWidth="1"/>
    <col min="3" max="3" width="9" customWidth="1"/>
    <col min="4" max="4" width="46.21875" customWidth="1"/>
    <col min="5" max="5" width="14.5546875" customWidth="1"/>
    <col min="6" max="6" width="13.109375" hidden="1" customWidth="1"/>
    <col min="7" max="7" width="15.5546875" customWidth="1"/>
    <col min="8" max="8" width="12.109375" hidden="1" customWidth="1"/>
    <col min="9" max="9" width="13.44140625" hidden="1" customWidth="1"/>
    <col min="10" max="10" width="12" hidden="1" customWidth="1"/>
    <col min="11" max="11" width="12.77734375" hidden="1" customWidth="1"/>
    <col min="12" max="12" width="14" hidden="1" customWidth="1"/>
    <col min="13" max="14" width="12.33203125" hidden="1" customWidth="1"/>
    <col min="15" max="15" width="12.88671875" hidden="1" customWidth="1"/>
    <col min="16" max="16" width="12.44140625" hidden="1" customWidth="1"/>
    <col min="17" max="17" width="11" hidden="1" customWidth="1"/>
    <col min="18" max="18" width="11.44140625" hidden="1" customWidth="1"/>
    <col min="19" max="19" width="12" hidden="1" customWidth="1"/>
    <col min="20" max="21" width="11.109375" hidden="1" customWidth="1"/>
    <col min="22" max="22" width="11.6640625" hidden="1" customWidth="1"/>
    <col min="23" max="23" width="12.5546875" hidden="1" customWidth="1"/>
    <col min="24" max="24" width="12.33203125" hidden="1" customWidth="1"/>
    <col min="25" max="25" width="12.77734375" hidden="1" customWidth="1"/>
    <col min="26" max="26" width="13.109375" hidden="1" customWidth="1"/>
    <col min="27" max="27" width="12.6640625" hidden="1" customWidth="1"/>
    <col min="28" max="28" width="11.44140625" hidden="1" customWidth="1"/>
    <col min="29" max="29" width="12.44140625" hidden="1" customWidth="1"/>
    <col min="30" max="30" width="12.77734375" hidden="1" customWidth="1"/>
    <col min="31" max="31" width="15.88671875" customWidth="1"/>
    <col min="32" max="32" width="14.6640625" customWidth="1"/>
    <col min="33" max="33" width="13.5546875" hidden="1" customWidth="1"/>
    <col min="34" max="35" width="14" hidden="1" customWidth="1"/>
    <col min="36" max="36" width="11.6640625" hidden="1" customWidth="1"/>
    <col min="37" max="37" width="13.21875" hidden="1" customWidth="1"/>
    <col min="38" max="38" width="12.44140625" hidden="1" customWidth="1"/>
    <col min="39" max="39" width="12.109375" hidden="1" customWidth="1"/>
    <col min="40" max="40" width="12.44140625" hidden="1" customWidth="1"/>
    <col min="41" max="42" width="15" hidden="1" customWidth="1"/>
    <col min="43" max="43" width="11.6640625" hidden="1" customWidth="1"/>
    <col min="44" max="44" width="13.33203125" hidden="1" customWidth="1"/>
    <col min="45" max="45" width="12.5546875" hidden="1" customWidth="1"/>
    <col min="46" max="47" width="14.109375" hidden="1" customWidth="1"/>
    <col min="48" max="48" width="13.5546875" hidden="1" customWidth="1"/>
    <col min="49" max="49" width="13.44140625" hidden="1" customWidth="1"/>
    <col min="50" max="50" width="13" hidden="1" customWidth="1"/>
    <col min="51" max="52" width="13.44140625" hidden="1" customWidth="1"/>
    <col min="53" max="54" width="15.5546875" hidden="1" customWidth="1"/>
    <col min="55" max="55" width="13.88671875" hidden="1" customWidth="1"/>
    <col min="56" max="56" width="9" customWidth="1"/>
    <col min="57" max="57" width="14.88671875" customWidth="1"/>
    <col min="58" max="58" width="14.5546875" hidden="1" customWidth="1"/>
    <col min="59" max="59" width="16.5546875" hidden="1" customWidth="1"/>
    <col min="60" max="60" width="13.6640625" hidden="1" customWidth="1"/>
    <col min="61" max="61" width="14" hidden="1" customWidth="1"/>
    <col min="62" max="67" width="16.5546875" hidden="1" customWidth="1"/>
    <col min="68" max="68" width="15" hidden="1" customWidth="1"/>
    <col min="69" max="70" width="14.44140625" hidden="1" customWidth="1"/>
    <col min="71" max="71" width="16.5546875" hidden="1" customWidth="1"/>
    <col min="72" max="72" width="13.33203125" hidden="1" customWidth="1"/>
    <col min="73" max="73" width="13.44140625" hidden="1" customWidth="1"/>
    <col min="74" max="74" width="12.88671875" hidden="1" customWidth="1"/>
    <col min="75" max="79" width="16.5546875" hidden="1" customWidth="1"/>
    <col min="80" max="80" width="14" hidden="1" customWidth="1"/>
    <col min="81" max="81" width="10.33203125" customWidth="1"/>
    <col min="82" max="82" width="14.6640625" customWidth="1"/>
    <col min="83" max="83" width="12.33203125" hidden="1" customWidth="1"/>
    <col min="84" max="86" width="13.33203125" hidden="1" customWidth="1"/>
    <col min="87" max="88" width="14" hidden="1" customWidth="1"/>
    <col min="89" max="89" width="15.44140625" hidden="1" customWidth="1"/>
    <col min="90" max="92" width="13.5546875" hidden="1" customWidth="1"/>
    <col min="93" max="93" width="11.6640625" hidden="1" customWidth="1"/>
    <col min="94" max="94" width="13.44140625" hidden="1" customWidth="1"/>
    <col min="95" max="95" width="15.6640625" hidden="1" customWidth="1"/>
    <col min="96" max="97" width="16.33203125" hidden="1" customWidth="1"/>
    <col min="98" max="98" width="13.6640625" hidden="1" customWidth="1"/>
    <col min="99" max="99" width="13" hidden="1" customWidth="1"/>
    <col min="100" max="101" width="14.33203125" hidden="1" customWidth="1"/>
    <col min="102" max="102" width="13.6640625" hidden="1" customWidth="1"/>
    <col min="103" max="104" width="12.33203125" hidden="1" customWidth="1"/>
    <col min="105" max="105" width="13.44140625" hidden="1" customWidth="1"/>
    <col min="106" max="106" width="9.6640625" customWidth="1"/>
    <col min="107" max="107" width="15" customWidth="1"/>
    <col min="108" max="108" width="13.6640625" hidden="1" customWidth="1"/>
    <col min="109" max="109" width="14.44140625" hidden="1" customWidth="1"/>
    <col min="110" max="110" width="12.88671875" hidden="1" customWidth="1"/>
    <col min="111" max="111" width="14" hidden="1" customWidth="1"/>
    <col min="112" max="113" width="15.5546875" hidden="1" customWidth="1"/>
    <col min="114" max="114" width="14.44140625" hidden="1" customWidth="1"/>
    <col min="115" max="115" width="12.6640625" hidden="1" customWidth="1"/>
    <col min="116" max="117" width="13.5546875" hidden="1" customWidth="1"/>
    <col min="118" max="119" width="13.88671875" hidden="1" customWidth="1"/>
    <col min="120" max="120" width="13.6640625" hidden="1" customWidth="1"/>
    <col min="121" max="123" width="13.88671875" hidden="1" customWidth="1"/>
    <col min="124" max="124" width="13.33203125" hidden="1" customWidth="1"/>
    <col min="125" max="126" width="14.44140625" hidden="1" customWidth="1"/>
    <col min="127" max="127" width="14.88671875" hidden="1" customWidth="1"/>
    <col min="128" max="129" width="14.33203125" hidden="1" customWidth="1"/>
    <col min="130" max="130" width="13.5546875" hidden="1" customWidth="1"/>
    <col min="131" max="131" width="5.109375" customWidth="1"/>
    <col min="132" max="132" width="28.44140625" customWidth="1"/>
    <col min="133" max="133" width="22.21875" customWidth="1"/>
    <col min="134" max="134" width="16.6640625" customWidth="1"/>
    <col min="135" max="135" width="17.6640625" customWidth="1"/>
    <col min="136" max="157" width="11.44140625" customWidth="1"/>
  </cols>
  <sheetData>
    <row r="1" spans="1:135" ht="15" hidden="1" customHeight="1" x14ac:dyDescent="0.35">
      <c r="C1" s="261" t="s">
        <v>416</v>
      </c>
      <c r="D1" s="262"/>
      <c r="E1" s="262"/>
      <c r="F1" s="263"/>
      <c r="G1" s="264" t="s">
        <v>415</v>
      </c>
      <c r="H1" s="265"/>
      <c r="I1" s="265"/>
      <c r="J1" s="265"/>
      <c r="K1" s="265"/>
      <c r="L1" s="265"/>
      <c r="M1" s="265"/>
      <c r="N1" s="265"/>
      <c r="O1" s="265"/>
      <c r="P1" s="265"/>
      <c r="Q1" s="265"/>
      <c r="R1" s="265"/>
      <c r="S1" s="265"/>
      <c r="T1" s="265"/>
      <c r="U1" s="265"/>
      <c r="V1" s="265"/>
      <c r="W1" s="265"/>
      <c r="X1" s="265"/>
      <c r="Y1" s="265"/>
      <c r="Z1" s="265"/>
      <c r="AA1" s="265"/>
      <c r="AB1" s="265"/>
      <c r="AC1" s="265"/>
      <c r="AD1" s="266"/>
      <c r="AE1" s="159"/>
      <c r="AF1" s="267" t="s">
        <v>414</v>
      </c>
      <c r="AG1" s="268"/>
      <c r="AH1" s="268"/>
      <c r="AI1" s="268"/>
      <c r="AJ1" s="268"/>
      <c r="AK1" s="268"/>
      <c r="AL1" s="268"/>
      <c r="AM1" s="268"/>
      <c r="AN1" s="268"/>
      <c r="AO1" s="268"/>
      <c r="AP1" s="268"/>
      <c r="AQ1" s="268"/>
      <c r="AR1" s="268"/>
      <c r="AS1" s="268"/>
      <c r="AT1" s="268"/>
      <c r="AU1" s="268"/>
      <c r="AV1" s="268"/>
      <c r="AW1" s="268"/>
      <c r="AX1" s="268"/>
      <c r="AY1" s="268"/>
      <c r="AZ1" s="268"/>
      <c r="BA1" s="268"/>
      <c r="BB1" s="268"/>
      <c r="BC1" s="269"/>
      <c r="BD1" s="157"/>
      <c r="BE1" s="158"/>
      <c r="BF1" s="259" t="s">
        <v>413</v>
      </c>
      <c r="BG1" s="260"/>
      <c r="BH1" s="260"/>
      <c r="BI1" s="260"/>
      <c r="BJ1" s="260"/>
      <c r="BK1" s="260"/>
      <c r="BL1" s="260"/>
      <c r="BM1" s="260"/>
      <c r="BN1" s="260"/>
      <c r="BO1" s="260"/>
      <c r="BP1" s="260"/>
      <c r="BQ1" s="260"/>
      <c r="BR1" s="260"/>
      <c r="BS1" s="260"/>
      <c r="BT1" s="260"/>
      <c r="BU1" s="260"/>
      <c r="BV1" s="260"/>
      <c r="BW1" s="260"/>
      <c r="BX1" s="260"/>
      <c r="BY1" s="260"/>
      <c r="BZ1" s="260"/>
      <c r="CA1" s="260"/>
      <c r="CB1" s="260"/>
      <c r="CC1" s="270"/>
      <c r="CD1" s="267"/>
      <c r="CE1" s="260"/>
      <c r="CF1" s="260"/>
      <c r="CG1" s="260"/>
      <c r="CH1" s="260"/>
      <c r="CI1" s="260"/>
      <c r="CJ1" s="260"/>
      <c r="CK1" s="260"/>
      <c r="CL1" s="260"/>
      <c r="CM1" s="260"/>
      <c r="CN1" s="260"/>
      <c r="CO1" s="260"/>
      <c r="CP1" s="260"/>
      <c r="CQ1" s="260"/>
      <c r="CR1" s="260"/>
      <c r="CS1" s="260"/>
      <c r="CT1" s="260"/>
      <c r="CU1" s="260"/>
      <c r="CV1" s="260"/>
      <c r="CW1" s="260"/>
      <c r="CX1" s="260"/>
      <c r="CY1" s="260"/>
      <c r="CZ1" s="260"/>
      <c r="DA1" s="270"/>
      <c r="DB1" s="157"/>
      <c r="DC1" s="259" t="s">
        <v>413</v>
      </c>
      <c r="DD1" s="260"/>
      <c r="DE1" s="260"/>
      <c r="DF1" s="260"/>
      <c r="DG1" s="260"/>
      <c r="DH1" s="260"/>
      <c r="DI1" s="260"/>
      <c r="DJ1" s="260"/>
      <c r="DK1" s="260"/>
      <c r="DL1" s="260"/>
      <c r="DM1" s="260"/>
      <c r="DN1" s="260"/>
      <c r="DO1" s="260"/>
      <c r="DP1" s="260"/>
      <c r="DQ1" s="260"/>
      <c r="DR1" s="260"/>
      <c r="DS1" s="260"/>
      <c r="DT1" s="260"/>
      <c r="DU1" s="260"/>
      <c r="DV1" s="260"/>
      <c r="DW1" s="260"/>
      <c r="DX1" s="260"/>
      <c r="DY1" s="260"/>
      <c r="DZ1" s="260"/>
    </row>
    <row r="2" spans="1:135" ht="15" hidden="1" customHeight="1" x14ac:dyDescent="0.3">
      <c r="A2" s="257" t="s">
        <v>412</v>
      </c>
      <c r="B2" s="257" t="s">
        <v>411</v>
      </c>
      <c r="C2" s="257" t="s">
        <v>410</v>
      </c>
      <c r="D2" s="257" t="s">
        <v>409</v>
      </c>
      <c r="E2" s="258" t="s">
        <v>408</v>
      </c>
      <c r="F2" s="257" t="s">
        <v>407</v>
      </c>
      <c r="G2" s="255" t="s">
        <v>406</v>
      </c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255"/>
      <c r="AB2" s="255"/>
      <c r="AC2" s="255"/>
      <c r="AD2" s="255"/>
      <c r="AE2" s="152"/>
      <c r="AF2" s="252" t="s">
        <v>405</v>
      </c>
      <c r="AG2" s="253"/>
      <c r="AH2" s="253"/>
      <c r="AI2" s="253"/>
      <c r="AJ2" s="253"/>
      <c r="AK2" s="253"/>
      <c r="AL2" s="253"/>
      <c r="AM2" s="253"/>
      <c r="AN2" s="253"/>
      <c r="AO2" s="253"/>
      <c r="AP2" s="253"/>
      <c r="AQ2" s="253"/>
      <c r="AR2" s="253"/>
      <c r="AS2" s="253"/>
      <c r="AT2" s="253"/>
      <c r="AU2" s="253"/>
      <c r="AV2" s="253"/>
      <c r="AW2" s="253"/>
      <c r="AX2" s="253"/>
      <c r="AY2" s="253"/>
      <c r="AZ2" s="253"/>
      <c r="BA2" s="253"/>
      <c r="BB2" s="253"/>
      <c r="BC2" s="254"/>
      <c r="BD2" s="155"/>
      <c r="BE2" s="154"/>
      <c r="BF2" s="256" t="s">
        <v>403</v>
      </c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56" t="s">
        <v>403</v>
      </c>
      <c r="BS2" s="244"/>
      <c r="BT2" s="244"/>
      <c r="BU2" s="244"/>
      <c r="BV2" s="244"/>
      <c r="BW2" s="244"/>
      <c r="BX2" s="244"/>
      <c r="BY2" s="244"/>
      <c r="BZ2" s="244"/>
      <c r="CA2" s="244"/>
      <c r="CB2" s="245"/>
      <c r="CC2" s="153"/>
      <c r="CD2" s="152"/>
      <c r="CE2" s="252" t="s">
        <v>404</v>
      </c>
      <c r="CF2" s="253"/>
      <c r="CG2" s="253"/>
      <c r="CH2" s="253"/>
      <c r="CI2" s="253"/>
      <c r="CJ2" s="253"/>
      <c r="CK2" s="253"/>
      <c r="CL2" s="253"/>
      <c r="CM2" s="253"/>
      <c r="CN2" s="253"/>
      <c r="CO2" s="253"/>
      <c r="CP2" s="253"/>
      <c r="CQ2" s="253"/>
      <c r="CR2" s="150"/>
      <c r="CS2" s="150"/>
      <c r="CT2" s="253"/>
      <c r="CU2" s="253"/>
      <c r="CV2" s="253"/>
      <c r="CW2" s="253"/>
      <c r="CX2" s="253"/>
      <c r="CY2" s="253"/>
      <c r="CZ2" s="253"/>
      <c r="DA2" s="254"/>
      <c r="DB2" s="139"/>
      <c r="DC2" s="256" t="s">
        <v>403</v>
      </c>
      <c r="DD2" s="244"/>
      <c r="DE2" s="244"/>
      <c r="DF2" s="244"/>
      <c r="DG2" s="244"/>
      <c r="DH2" s="244"/>
      <c r="DI2" s="244"/>
      <c r="DJ2" s="244"/>
      <c r="DK2" s="244"/>
      <c r="DL2" s="244"/>
      <c r="DM2" s="244"/>
      <c r="DN2" s="244"/>
      <c r="DO2" s="244"/>
      <c r="DP2" s="244" t="s">
        <v>403</v>
      </c>
      <c r="DQ2" s="244"/>
      <c r="DR2" s="244"/>
      <c r="DS2" s="244"/>
      <c r="DT2" s="244"/>
      <c r="DU2" s="244"/>
      <c r="DV2" s="244"/>
      <c r="DW2" s="244"/>
      <c r="DX2" s="244"/>
      <c r="DY2" s="244"/>
      <c r="DZ2" s="245"/>
    </row>
    <row r="3" spans="1:135" ht="36.6" customHeight="1" x14ac:dyDescent="0.3">
      <c r="A3" s="257"/>
      <c r="B3" s="257"/>
      <c r="C3" s="257"/>
      <c r="D3" s="257"/>
      <c r="E3" s="258"/>
      <c r="F3" s="257"/>
      <c r="G3" s="281" t="s">
        <v>406</v>
      </c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  <c r="AA3" s="156"/>
      <c r="AB3" s="156"/>
      <c r="AC3" s="156"/>
      <c r="AD3" s="156"/>
      <c r="AE3" s="275" t="s">
        <v>417</v>
      </c>
      <c r="AF3" s="283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8"/>
      <c r="BD3" s="273" t="s">
        <v>419</v>
      </c>
      <c r="BE3" s="274"/>
      <c r="BF3" s="147"/>
      <c r="BG3" s="146"/>
      <c r="BH3" s="146"/>
      <c r="BI3" s="146"/>
      <c r="BJ3" s="146"/>
      <c r="BK3" s="146"/>
      <c r="BL3" s="146"/>
      <c r="BM3" s="146"/>
      <c r="BN3" s="146"/>
      <c r="BO3" s="146"/>
      <c r="BP3" s="146"/>
      <c r="BQ3" s="146"/>
      <c r="BR3" s="147"/>
      <c r="BS3" s="146"/>
      <c r="BT3" s="146"/>
      <c r="BU3" s="146"/>
      <c r="BV3" s="146"/>
      <c r="BW3" s="146"/>
      <c r="BX3" s="146"/>
      <c r="BY3" s="146"/>
      <c r="BZ3" s="146"/>
      <c r="CA3" s="146"/>
      <c r="CB3" s="145"/>
      <c r="CC3" s="275" t="s">
        <v>420</v>
      </c>
      <c r="CD3" s="276"/>
      <c r="CE3" s="151"/>
      <c r="CF3" s="149"/>
      <c r="CG3" s="149"/>
      <c r="CH3" s="149"/>
      <c r="CI3" s="149"/>
      <c r="CJ3" s="149"/>
      <c r="CK3" s="149"/>
      <c r="CL3" s="149"/>
      <c r="CM3" s="149"/>
      <c r="CN3" s="149"/>
      <c r="CO3" s="149"/>
      <c r="CP3" s="149"/>
      <c r="CQ3" s="149"/>
      <c r="CR3" s="150"/>
      <c r="CS3" s="150"/>
      <c r="CT3" s="149"/>
      <c r="CU3" s="149"/>
      <c r="CV3" s="149"/>
      <c r="CW3" s="149"/>
      <c r="CX3" s="149"/>
      <c r="CY3" s="149"/>
      <c r="CZ3" s="149"/>
      <c r="DA3" s="148"/>
      <c r="DB3" s="273" t="s">
        <v>421</v>
      </c>
      <c r="DC3" s="277"/>
      <c r="DD3" s="146"/>
      <c r="DE3" s="146"/>
      <c r="DF3" s="146"/>
      <c r="DG3" s="146"/>
      <c r="DH3" s="146"/>
      <c r="DI3" s="146"/>
      <c r="DJ3" s="146"/>
      <c r="DK3" s="146"/>
      <c r="DL3" s="146"/>
      <c r="DM3" s="146"/>
      <c r="DN3" s="146"/>
      <c r="DO3" s="146"/>
      <c r="DP3" s="146"/>
      <c r="DQ3" s="146"/>
      <c r="DR3" s="146"/>
      <c r="DS3" s="146"/>
      <c r="DT3" s="146"/>
      <c r="DU3" s="146"/>
      <c r="DV3" s="146"/>
      <c r="DW3" s="146"/>
      <c r="DX3" s="146"/>
      <c r="DY3" s="146"/>
      <c r="DZ3" s="145"/>
    </row>
    <row r="4" spans="1:135" s="138" customFormat="1" ht="27.6" customHeight="1" x14ac:dyDescent="0.25">
      <c r="A4" s="257"/>
      <c r="B4" s="257"/>
      <c r="C4" s="257"/>
      <c r="D4" s="257"/>
      <c r="E4" s="258"/>
      <c r="F4" s="257"/>
      <c r="G4" s="282"/>
      <c r="H4" s="144" t="s">
        <v>399</v>
      </c>
      <c r="I4" s="144" t="s">
        <v>398</v>
      </c>
      <c r="J4" s="144" t="s">
        <v>402</v>
      </c>
      <c r="K4" s="144" t="s">
        <v>396</v>
      </c>
      <c r="L4" s="144" t="s">
        <v>395</v>
      </c>
      <c r="M4" s="144" t="s">
        <v>394</v>
      </c>
      <c r="N4" s="144" t="s">
        <v>393</v>
      </c>
      <c r="O4" s="144" t="s">
        <v>392</v>
      </c>
      <c r="P4" s="144" t="s">
        <v>391</v>
      </c>
      <c r="Q4" s="144" t="s">
        <v>390</v>
      </c>
      <c r="R4" s="144" t="s">
        <v>389</v>
      </c>
      <c r="S4" s="144" t="s">
        <v>388</v>
      </c>
      <c r="T4" s="144" t="s">
        <v>387</v>
      </c>
      <c r="U4" s="144" t="s">
        <v>386</v>
      </c>
      <c r="V4" s="144" t="s">
        <v>385</v>
      </c>
      <c r="W4" s="144" t="s">
        <v>384</v>
      </c>
      <c r="X4" s="144" t="s">
        <v>383</v>
      </c>
      <c r="Y4" s="144" t="s">
        <v>382</v>
      </c>
      <c r="Z4" s="144" t="s">
        <v>381</v>
      </c>
      <c r="AA4" s="144" t="s">
        <v>380</v>
      </c>
      <c r="AB4" s="144" t="s">
        <v>379</v>
      </c>
      <c r="AC4" s="144" t="s">
        <v>378</v>
      </c>
      <c r="AD4" s="144" t="s">
        <v>377</v>
      </c>
      <c r="AE4" s="160" t="s">
        <v>401</v>
      </c>
      <c r="AF4" s="160" t="s">
        <v>418</v>
      </c>
      <c r="AG4" s="140" t="s">
        <v>399</v>
      </c>
      <c r="AH4" s="140" t="s">
        <v>398</v>
      </c>
      <c r="AI4" s="140" t="s">
        <v>402</v>
      </c>
      <c r="AJ4" s="140" t="s">
        <v>396</v>
      </c>
      <c r="AK4" s="140" t="s">
        <v>395</v>
      </c>
      <c r="AL4" s="140" t="s">
        <v>394</v>
      </c>
      <c r="AM4" s="140" t="s">
        <v>393</v>
      </c>
      <c r="AN4" s="140" t="s">
        <v>392</v>
      </c>
      <c r="AO4" s="140" t="s">
        <v>391</v>
      </c>
      <c r="AP4" s="140" t="s">
        <v>390</v>
      </c>
      <c r="AQ4" s="140" t="s">
        <v>389</v>
      </c>
      <c r="AR4" s="140" t="s">
        <v>388</v>
      </c>
      <c r="AS4" s="140" t="s">
        <v>387</v>
      </c>
      <c r="AT4" s="140" t="s">
        <v>386</v>
      </c>
      <c r="AU4" s="140" t="s">
        <v>385</v>
      </c>
      <c r="AV4" s="140" t="s">
        <v>384</v>
      </c>
      <c r="AW4" s="140" t="s">
        <v>383</v>
      </c>
      <c r="AX4" s="140" t="s">
        <v>382</v>
      </c>
      <c r="AY4" s="140" t="s">
        <v>381</v>
      </c>
      <c r="AZ4" s="140" t="s">
        <v>380</v>
      </c>
      <c r="BA4" s="140" t="s">
        <v>379</v>
      </c>
      <c r="BB4" s="140" t="s">
        <v>378</v>
      </c>
      <c r="BC4" s="140" t="s">
        <v>377</v>
      </c>
      <c r="BD4" s="161" t="s">
        <v>401</v>
      </c>
      <c r="BE4" s="161" t="s">
        <v>418</v>
      </c>
      <c r="BF4" s="139" t="s">
        <v>399</v>
      </c>
      <c r="BG4" s="139" t="s">
        <v>398</v>
      </c>
      <c r="BH4" s="139" t="s">
        <v>397</v>
      </c>
      <c r="BI4" s="139" t="s">
        <v>396</v>
      </c>
      <c r="BJ4" s="139" t="s">
        <v>395</v>
      </c>
      <c r="BK4" s="139" t="s">
        <v>394</v>
      </c>
      <c r="BL4" s="139" t="s">
        <v>393</v>
      </c>
      <c r="BM4" s="139" t="s">
        <v>392</v>
      </c>
      <c r="BN4" s="139" t="s">
        <v>391</v>
      </c>
      <c r="BO4" s="139" t="s">
        <v>390</v>
      </c>
      <c r="BP4" s="139" t="s">
        <v>389</v>
      </c>
      <c r="BQ4" s="139" t="s">
        <v>388</v>
      </c>
      <c r="BR4" s="139" t="s">
        <v>387</v>
      </c>
      <c r="BS4" s="139" t="s">
        <v>386</v>
      </c>
      <c r="BT4" s="139" t="s">
        <v>385</v>
      </c>
      <c r="BU4" s="139" t="s">
        <v>384</v>
      </c>
      <c r="BV4" s="139" t="s">
        <v>383</v>
      </c>
      <c r="BW4" s="139" t="s">
        <v>382</v>
      </c>
      <c r="BX4" s="139" t="s">
        <v>381</v>
      </c>
      <c r="BY4" s="139" t="s">
        <v>380</v>
      </c>
      <c r="BZ4" s="139" t="s">
        <v>379</v>
      </c>
      <c r="CA4" s="139" t="s">
        <v>378</v>
      </c>
      <c r="CB4" s="139" t="s">
        <v>377</v>
      </c>
      <c r="CC4" s="160" t="s">
        <v>401</v>
      </c>
      <c r="CD4" s="160" t="s">
        <v>418</v>
      </c>
      <c r="CE4" s="140" t="s">
        <v>399</v>
      </c>
      <c r="CF4" s="140" t="s">
        <v>398</v>
      </c>
      <c r="CG4" s="140" t="s">
        <v>397</v>
      </c>
      <c r="CH4" s="140" t="s">
        <v>396</v>
      </c>
      <c r="CI4" s="140" t="s">
        <v>395</v>
      </c>
      <c r="CJ4" s="140" t="s">
        <v>394</v>
      </c>
      <c r="CK4" s="140" t="s">
        <v>393</v>
      </c>
      <c r="CL4" s="140" t="s">
        <v>392</v>
      </c>
      <c r="CM4" s="140" t="s">
        <v>391</v>
      </c>
      <c r="CN4" s="140" t="s">
        <v>390</v>
      </c>
      <c r="CO4" s="140" t="s">
        <v>389</v>
      </c>
      <c r="CP4" s="140" t="s">
        <v>388</v>
      </c>
      <c r="CQ4" s="140" t="s">
        <v>387</v>
      </c>
      <c r="CR4" s="140" t="s">
        <v>386</v>
      </c>
      <c r="CS4" s="140" t="s">
        <v>385</v>
      </c>
      <c r="CT4" s="140" t="s">
        <v>384</v>
      </c>
      <c r="CU4" s="140" t="s">
        <v>383</v>
      </c>
      <c r="CV4" s="140" t="s">
        <v>382</v>
      </c>
      <c r="CW4" s="140" t="s">
        <v>381</v>
      </c>
      <c r="CX4" s="140" t="s">
        <v>380</v>
      </c>
      <c r="CY4" s="140" t="s">
        <v>379</v>
      </c>
      <c r="CZ4" s="140" t="s">
        <v>378</v>
      </c>
      <c r="DA4" s="140" t="s">
        <v>377</v>
      </c>
      <c r="DB4" s="161" t="s">
        <v>401</v>
      </c>
      <c r="DC4" s="161" t="s">
        <v>418</v>
      </c>
      <c r="DD4" s="139" t="s">
        <v>399</v>
      </c>
      <c r="DE4" s="139" t="s">
        <v>398</v>
      </c>
      <c r="DF4" s="139" t="s">
        <v>397</v>
      </c>
      <c r="DG4" s="139" t="s">
        <v>396</v>
      </c>
      <c r="DH4" s="139" t="s">
        <v>395</v>
      </c>
      <c r="DI4" s="139" t="s">
        <v>394</v>
      </c>
      <c r="DJ4" s="139" t="s">
        <v>393</v>
      </c>
      <c r="DK4" s="139" t="s">
        <v>392</v>
      </c>
      <c r="DL4" s="139" t="s">
        <v>391</v>
      </c>
      <c r="DM4" s="139" t="s">
        <v>390</v>
      </c>
      <c r="DN4" s="139" t="s">
        <v>389</v>
      </c>
      <c r="DO4" s="139" t="s">
        <v>388</v>
      </c>
      <c r="DP4" s="139" t="s">
        <v>387</v>
      </c>
      <c r="DQ4" s="139" t="s">
        <v>386</v>
      </c>
      <c r="DR4" s="139" t="s">
        <v>385</v>
      </c>
      <c r="DS4" s="139" t="s">
        <v>384</v>
      </c>
      <c r="DT4" s="139" t="s">
        <v>383</v>
      </c>
      <c r="DU4" s="139" t="s">
        <v>382</v>
      </c>
      <c r="DV4" s="139" t="s">
        <v>381</v>
      </c>
      <c r="DW4" s="139" t="s">
        <v>380</v>
      </c>
      <c r="DX4" s="139" t="s">
        <v>379</v>
      </c>
      <c r="DY4" s="139" t="s">
        <v>378</v>
      </c>
      <c r="DZ4" s="139" t="s">
        <v>377</v>
      </c>
      <c r="EB4" s="162" t="s">
        <v>412</v>
      </c>
      <c r="EC4" s="162" t="s">
        <v>422</v>
      </c>
      <c r="ED4" s="163" t="s">
        <v>423</v>
      </c>
      <c r="EE4" s="163" t="s">
        <v>424</v>
      </c>
    </row>
    <row r="5" spans="1:135" ht="44.4" hidden="1" customHeight="1" x14ac:dyDescent="0.3">
      <c r="A5" s="129" t="s">
        <v>373</v>
      </c>
      <c r="B5" s="246" t="s">
        <v>372</v>
      </c>
      <c r="C5" s="121" t="s">
        <v>371</v>
      </c>
      <c r="D5" s="71" t="s">
        <v>370</v>
      </c>
      <c r="E5" s="124">
        <v>510</v>
      </c>
      <c r="F5" s="67" t="s">
        <v>369</v>
      </c>
      <c r="G5" s="66">
        <f t="shared" ref="G5:G39" si="0">SUM(H5:AD5)</f>
        <v>71000000</v>
      </c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>
        <v>35000000</v>
      </c>
      <c r="Y5" s="66"/>
      <c r="Z5" s="66"/>
      <c r="AA5" s="66"/>
      <c r="AB5" s="66"/>
      <c r="AC5" s="66"/>
      <c r="AD5" s="66">
        <f>30000000+5000000+5000000-4000000</f>
        <v>36000000</v>
      </c>
      <c r="AE5" s="22">
        <f t="shared" ref="AE5:AE16" si="1">+AF5/G5</f>
        <v>0.95115883098591547</v>
      </c>
      <c r="AF5" s="66">
        <f t="shared" ref="AF5:AF16" si="2">SUM(AG5:BC5)</f>
        <v>67532277</v>
      </c>
      <c r="AG5" s="136"/>
      <c r="AH5" s="66"/>
      <c r="AI5" s="137"/>
      <c r="AJ5" s="137"/>
      <c r="AK5" s="136"/>
      <c r="AL5" s="136"/>
      <c r="AM5" s="66"/>
      <c r="AN5" s="21"/>
      <c r="AO5" s="21"/>
      <c r="AP5" s="21"/>
      <c r="AQ5" s="21"/>
      <c r="AR5" s="21"/>
      <c r="AS5" s="21"/>
      <c r="AT5" s="21"/>
      <c r="AU5" s="21"/>
      <c r="AV5" s="66"/>
      <c r="AW5" s="66">
        <f>+'[1]OCTUBRE 2019'!$Z$3304</f>
        <v>34949989</v>
      </c>
      <c r="AX5" s="66"/>
      <c r="AY5" s="66"/>
      <c r="AZ5" s="66"/>
      <c r="BA5" s="66"/>
      <c r="BB5" s="66"/>
      <c r="BC5" s="66">
        <f>+'[2]SEPTIEMBRE 2019'!$AG$2922</f>
        <v>32582288</v>
      </c>
      <c r="BD5" s="22">
        <f t="shared" ref="BD5:BD68" si="3">1-AE5</f>
        <v>4.8841169014084529E-2</v>
      </c>
      <c r="BE5" s="66">
        <f t="shared" ref="BE5:BE39" si="4">SUM(BF5:CB5)</f>
        <v>3467723</v>
      </c>
      <c r="BF5" s="66">
        <f t="shared" ref="BF5:BH9" si="5">H5-AG5</f>
        <v>0</v>
      </c>
      <c r="BG5" s="66">
        <f t="shared" si="5"/>
        <v>0</v>
      </c>
      <c r="BH5" s="66">
        <f t="shared" si="5"/>
        <v>0</v>
      </c>
      <c r="BI5" s="66"/>
      <c r="BJ5" s="66">
        <f t="shared" ref="BJ5:BY9" si="6">L5-AK5</f>
        <v>0</v>
      </c>
      <c r="BK5" s="66">
        <f t="shared" si="6"/>
        <v>0</v>
      </c>
      <c r="BL5" s="66">
        <f t="shared" si="6"/>
        <v>0</v>
      </c>
      <c r="BM5" s="66">
        <f t="shared" si="6"/>
        <v>0</v>
      </c>
      <c r="BN5" s="66">
        <f t="shared" si="6"/>
        <v>0</v>
      </c>
      <c r="BO5" s="66">
        <f t="shared" si="6"/>
        <v>0</v>
      </c>
      <c r="BP5" s="66">
        <f t="shared" si="6"/>
        <v>0</v>
      </c>
      <c r="BQ5" s="66">
        <f t="shared" si="6"/>
        <v>0</v>
      </c>
      <c r="BR5" s="66">
        <f t="shared" si="6"/>
        <v>0</v>
      </c>
      <c r="BS5" s="66">
        <f t="shared" si="6"/>
        <v>0</v>
      </c>
      <c r="BT5" s="66">
        <f t="shared" si="6"/>
        <v>0</v>
      </c>
      <c r="BU5" s="66">
        <f t="shared" si="6"/>
        <v>0</v>
      </c>
      <c r="BV5" s="66">
        <f t="shared" si="6"/>
        <v>50011</v>
      </c>
      <c r="BW5" s="66">
        <f t="shared" si="6"/>
        <v>0</v>
      </c>
      <c r="BX5" s="66">
        <f t="shared" si="6"/>
        <v>0</v>
      </c>
      <c r="BY5" s="66">
        <f t="shared" si="6"/>
        <v>0</v>
      </c>
      <c r="BZ5" s="66">
        <f t="shared" ref="BT5:CB14" si="7">AB5-BA5</f>
        <v>0</v>
      </c>
      <c r="CA5" s="66"/>
      <c r="CB5" s="66">
        <f>AD5-BC5</f>
        <v>3417712</v>
      </c>
      <c r="CC5" s="22">
        <f t="shared" ref="CC5:CC68" si="8">+CD5/G5</f>
        <v>0.94456436619718309</v>
      </c>
      <c r="CD5" s="66">
        <f t="shared" ref="CD5:CD39" si="9">SUM(CE5:DA5)</f>
        <v>67064070</v>
      </c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>
        <f>+'[1]OCTUBRE 2019'!$H$3305+'[1]OCTUBRE 2019'!$H$3317+'[1]OCTUBRE 2019'!$H$3318+'[1]OCTUBRE 2019'!$H$3319+'[1]OCTUBRE 2019'!$H$3320+'[1]OCTUBRE 2019'!$H$3321+'[1]OCTUBRE 2019'!$H$3328+'[1]OCTUBRE 2019'!$H$3338</f>
        <v>34934861</v>
      </c>
      <c r="CV5" s="66"/>
      <c r="CW5" s="66"/>
      <c r="CX5" s="66"/>
      <c r="CY5" s="66"/>
      <c r="CZ5" s="66"/>
      <c r="DA5" s="66">
        <f>+'[1]OCTUBRE 2019'!$H$3315+'[1]OCTUBRE 2019'!$H$3322+'[1]OCTUBRE 2019'!$H$3323+'[1]OCTUBRE 2019'!$H$3324+'[1]OCTUBRE 2019'!$H$3326+'[1]OCTUBRE 2019'!$H$3327+'[1]OCTUBRE 2019'!$H$3329+'[1]OCTUBRE 2019'!$H$3331+'[1]OCTUBRE 2019'!$H$3332+'[1]OCTUBRE 2019'!$H$3333+'[1]OCTUBRE 2019'!$H$3336+'[1]OCTUBRE 2019'!$H$3337</f>
        <v>32129209</v>
      </c>
      <c r="DB5" s="22">
        <f t="shared" ref="DB5:DB68" si="10">1-CC5</f>
        <v>5.5435633802816908E-2</v>
      </c>
      <c r="DC5" s="66">
        <f t="shared" ref="DC5:DC39" si="11">SUM(DD5:DZ5)</f>
        <v>3935930</v>
      </c>
      <c r="DD5" s="66">
        <f t="shared" ref="DD5:DS20" si="12">H5-CE5</f>
        <v>0</v>
      </c>
      <c r="DE5" s="66">
        <f t="shared" si="12"/>
        <v>0</v>
      </c>
      <c r="DF5" s="66">
        <f t="shared" si="12"/>
        <v>0</v>
      </c>
      <c r="DG5" s="66">
        <f t="shared" si="12"/>
        <v>0</v>
      </c>
      <c r="DH5" s="66">
        <f t="shared" si="12"/>
        <v>0</v>
      </c>
      <c r="DI5" s="66">
        <f t="shared" si="12"/>
        <v>0</v>
      </c>
      <c r="DJ5" s="66">
        <f t="shared" si="12"/>
        <v>0</v>
      </c>
      <c r="DK5" s="66">
        <f t="shared" si="12"/>
        <v>0</v>
      </c>
      <c r="DL5" s="66">
        <f t="shared" si="12"/>
        <v>0</v>
      </c>
      <c r="DM5" s="66">
        <f t="shared" si="12"/>
        <v>0</v>
      </c>
      <c r="DN5" s="66">
        <f t="shared" si="12"/>
        <v>0</v>
      </c>
      <c r="DO5" s="66">
        <f t="shared" si="12"/>
        <v>0</v>
      </c>
      <c r="DP5" s="66">
        <f t="shared" si="12"/>
        <v>0</v>
      </c>
      <c r="DQ5" s="66">
        <f t="shared" si="12"/>
        <v>0</v>
      </c>
      <c r="DR5" s="66">
        <f t="shared" si="12"/>
        <v>0</v>
      </c>
      <c r="DS5" s="66">
        <f t="shared" si="12"/>
        <v>0</v>
      </c>
      <c r="DT5" s="66">
        <f t="shared" ref="DT5:DX14" si="13">X5-CU5</f>
        <v>65139</v>
      </c>
      <c r="DU5" s="66">
        <f t="shared" si="13"/>
        <v>0</v>
      </c>
      <c r="DV5" s="66">
        <f t="shared" si="13"/>
        <v>0</v>
      </c>
      <c r="DW5" s="66">
        <f t="shared" si="13"/>
        <v>0</v>
      </c>
      <c r="DX5" s="66">
        <f t="shared" si="13"/>
        <v>0</v>
      </c>
      <c r="DY5" s="66"/>
      <c r="DZ5" s="66">
        <f t="shared" ref="DZ5:DZ14" si="14">AD5-DA5</f>
        <v>3870791</v>
      </c>
    </row>
    <row r="6" spans="1:135" ht="60" hidden="1" customHeight="1" x14ac:dyDescent="0.3">
      <c r="A6" s="128"/>
      <c r="B6" s="247"/>
      <c r="C6" s="121" t="s">
        <v>368</v>
      </c>
      <c r="D6" s="71" t="s">
        <v>367</v>
      </c>
      <c r="E6" s="124">
        <v>510</v>
      </c>
      <c r="F6" s="67" t="s">
        <v>366</v>
      </c>
      <c r="G6" s="66">
        <f t="shared" si="0"/>
        <v>20000000</v>
      </c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>
        <v>20000000</v>
      </c>
      <c r="Y6" s="66"/>
      <c r="Z6" s="66"/>
      <c r="AA6" s="66"/>
      <c r="AB6" s="66"/>
      <c r="AC6" s="66"/>
      <c r="AD6" s="66"/>
      <c r="AE6" s="22">
        <f t="shared" si="1"/>
        <v>1</v>
      </c>
      <c r="AF6" s="66">
        <f t="shared" si="2"/>
        <v>20000000</v>
      </c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>
        <f>+'[2]SEPTIEMBRE 2019'!$Z$2967</f>
        <v>20000000</v>
      </c>
      <c r="AX6" s="66"/>
      <c r="AY6" s="66"/>
      <c r="AZ6" s="66"/>
      <c r="BA6" s="66"/>
      <c r="BB6" s="66"/>
      <c r="BC6" s="66"/>
      <c r="BD6" s="22">
        <f t="shared" si="3"/>
        <v>0</v>
      </c>
      <c r="BE6" s="66">
        <f t="shared" si="4"/>
        <v>0</v>
      </c>
      <c r="BF6" s="66">
        <f t="shared" si="5"/>
        <v>0</v>
      </c>
      <c r="BG6" s="66">
        <f t="shared" si="5"/>
        <v>0</v>
      </c>
      <c r="BH6" s="66">
        <f t="shared" si="5"/>
        <v>0</v>
      </c>
      <c r="BI6" s="66"/>
      <c r="BJ6" s="66">
        <f t="shared" si="6"/>
        <v>0</v>
      </c>
      <c r="BK6" s="66">
        <f t="shared" si="6"/>
        <v>0</v>
      </c>
      <c r="BL6" s="66">
        <f t="shared" si="6"/>
        <v>0</v>
      </c>
      <c r="BM6" s="66">
        <f t="shared" si="6"/>
        <v>0</v>
      </c>
      <c r="BN6" s="66">
        <f t="shared" si="6"/>
        <v>0</v>
      </c>
      <c r="BO6" s="66">
        <f t="shared" si="6"/>
        <v>0</v>
      </c>
      <c r="BP6" s="66">
        <f t="shared" si="6"/>
        <v>0</v>
      </c>
      <c r="BQ6" s="66">
        <f t="shared" si="6"/>
        <v>0</v>
      </c>
      <c r="BR6" s="66">
        <f t="shared" si="6"/>
        <v>0</v>
      </c>
      <c r="BS6" s="66">
        <f t="shared" si="6"/>
        <v>0</v>
      </c>
      <c r="BT6" s="66">
        <f t="shared" si="7"/>
        <v>0</v>
      </c>
      <c r="BU6" s="66">
        <f t="shared" si="7"/>
        <v>0</v>
      </c>
      <c r="BV6" s="66">
        <f t="shared" si="7"/>
        <v>0</v>
      </c>
      <c r="BW6" s="66">
        <f t="shared" si="7"/>
        <v>0</v>
      </c>
      <c r="BX6" s="66">
        <f t="shared" si="7"/>
        <v>0</v>
      </c>
      <c r="BY6" s="66">
        <f t="shared" si="7"/>
        <v>0</v>
      </c>
      <c r="BZ6" s="66">
        <f t="shared" si="7"/>
        <v>0</v>
      </c>
      <c r="CA6" s="66"/>
      <c r="CB6" s="66">
        <f>AD6-BC6</f>
        <v>0</v>
      </c>
      <c r="CC6" s="22">
        <f t="shared" si="8"/>
        <v>1</v>
      </c>
      <c r="CD6" s="66">
        <f t="shared" si="9"/>
        <v>20000000</v>
      </c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/>
      <c r="CR6" s="66"/>
      <c r="CS6" s="66"/>
      <c r="CT6" s="66"/>
      <c r="CU6" s="66">
        <f>+'[1]OCTUBRE 2019'!$H$3347</f>
        <v>20000000</v>
      </c>
      <c r="CV6" s="66"/>
      <c r="CW6" s="66"/>
      <c r="CX6" s="66"/>
      <c r="CY6" s="66"/>
      <c r="CZ6" s="66"/>
      <c r="DA6" s="66"/>
      <c r="DB6" s="22">
        <f t="shared" si="10"/>
        <v>0</v>
      </c>
      <c r="DC6" s="66">
        <f t="shared" si="11"/>
        <v>0</v>
      </c>
      <c r="DD6" s="66">
        <f t="shared" si="12"/>
        <v>0</v>
      </c>
      <c r="DE6" s="66">
        <f t="shared" si="12"/>
        <v>0</v>
      </c>
      <c r="DF6" s="66">
        <f t="shared" si="12"/>
        <v>0</v>
      </c>
      <c r="DG6" s="66">
        <f t="shared" si="12"/>
        <v>0</v>
      </c>
      <c r="DH6" s="66">
        <f t="shared" si="12"/>
        <v>0</v>
      </c>
      <c r="DI6" s="66">
        <f t="shared" si="12"/>
        <v>0</v>
      </c>
      <c r="DJ6" s="66">
        <f t="shared" si="12"/>
        <v>0</v>
      </c>
      <c r="DK6" s="66">
        <f t="shared" si="12"/>
        <v>0</v>
      </c>
      <c r="DL6" s="66">
        <f t="shared" si="12"/>
        <v>0</v>
      </c>
      <c r="DM6" s="66">
        <f t="shared" si="12"/>
        <v>0</v>
      </c>
      <c r="DN6" s="66">
        <f t="shared" si="12"/>
        <v>0</v>
      </c>
      <c r="DO6" s="66">
        <f t="shared" si="12"/>
        <v>0</v>
      </c>
      <c r="DP6" s="66">
        <f t="shared" si="12"/>
        <v>0</v>
      </c>
      <c r="DQ6" s="66">
        <f t="shared" si="12"/>
        <v>0</v>
      </c>
      <c r="DR6" s="66">
        <f t="shared" si="12"/>
        <v>0</v>
      </c>
      <c r="DS6" s="66">
        <f t="shared" si="12"/>
        <v>0</v>
      </c>
      <c r="DT6" s="66">
        <f t="shared" si="13"/>
        <v>0</v>
      </c>
      <c r="DU6" s="66">
        <f t="shared" si="13"/>
        <v>0</v>
      </c>
      <c r="DV6" s="66">
        <f t="shared" si="13"/>
        <v>0</v>
      </c>
      <c r="DW6" s="66">
        <f t="shared" si="13"/>
        <v>0</v>
      </c>
      <c r="DX6" s="66">
        <f t="shared" si="13"/>
        <v>0</v>
      </c>
      <c r="DY6" s="66"/>
      <c r="DZ6" s="66">
        <f t="shared" si="14"/>
        <v>0</v>
      </c>
    </row>
    <row r="7" spans="1:135" ht="32.4" hidden="1" customHeight="1" x14ac:dyDescent="0.3">
      <c r="A7" s="128"/>
      <c r="B7" s="247"/>
      <c r="C7" s="121" t="s">
        <v>365</v>
      </c>
      <c r="D7" s="71" t="s">
        <v>364</v>
      </c>
      <c r="E7" s="124">
        <v>510</v>
      </c>
      <c r="F7" s="67" t="s">
        <v>283</v>
      </c>
      <c r="G7" s="66">
        <f t="shared" si="0"/>
        <v>25000000</v>
      </c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>
        <v>25000000</v>
      </c>
      <c r="Y7" s="66"/>
      <c r="Z7" s="66"/>
      <c r="AA7" s="66"/>
      <c r="AB7" s="66"/>
      <c r="AC7" s="66"/>
      <c r="AD7" s="66"/>
      <c r="AE7" s="22">
        <f t="shared" si="1"/>
        <v>1</v>
      </c>
      <c r="AF7" s="66">
        <f t="shared" si="2"/>
        <v>25000000</v>
      </c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>
        <f>+'[2]SEPTIEMBRE 2019'!$Z$2981</f>
        <v>25000000</v>
      </c>
      <c r="AX7" s="66"/>
      <c r="AY7" s="66"/>
      <c r="AZ7" s="66"/>
      <c r="BA7" s="66"/>
      <c r="BB7" s="66"/>
      <c r="BC7" s="66"/>
      <c r="BD7" s="22">
        <f t="shared" si="3"/>
        <v>0</v>
      </c>
      <c r="BE7" s="66">
        <f t="shared" si="4"/>
        <v>0</v>
      </c>
      <c r="BF7" s="66">
        <f t="shared" si="5"/>
        <v>0</v>
      </c>
      <c r="BG7" s="66">
        <f t="shared" si="5"/>
        <v>0</v>
      </c>
      <c r="BH7" s="66">
        <f t="shared" si="5"/>
        <v>0</v>
      </c>
      <c r="BI7" s="66"/>
      <c r="BJ7" s="66">
        <f t="shared" si="6"/>
        <v>0</v>
      </c>
      <c r="BK7" s="66">
        <f t="shared" si="6"/>
        <v>0</v>
      </c>
      <c r="BL7" s="66">
        <f t="shared" si="6"/>
        <v>0</v>
      </c>
      <c r="BM7" s="66">
        <f t="shared" si="6"/>
        <v>0</v>
      </c>
      <c r="BN7" s="66">
        <f t="shared" si="6"/>
        <v>0</v>
      </c>
      <c r="BO7" s="66">
        <f t="shared" si="6"/>
        <v>0</v>
      </c>
      <c r="BP7" s="66">
        <f t="shared" si="6"/>
        <v>0</v>
      </c>
      <c r="BQ7" s="66">
        <f t="shared" si="6"/>
        <v>0</v>
      </c>
      <c r="BR7" s="66">
        <f t="shared" si="6"/>
        <v>0</v>
      </c>
      <c r="BS7" s="66">
        <f t="shared" si="6"/>
        <v>0</v>
      </c>
      <c r="BT7" s="66">
        <f t="shared" si="7"/>
        <v>0</v>
      </c>
      <c r="BU7" s="66">
        <f t="shared" si="7"/>
        <v>0</v>
      </c>
      <c r="BV7" s="66">
        <f t="shared" si="7"/>
        <v>0</v>
      </c>
      <c r="BW7" s="66">
        <f t="shared" si="7"/>
        <v>0</v>
      </c>
      <c r="BX7" s="66">
        <f t="shared" si="7"/>
        <v>0</v>
      </c>
      <c r="BY7" s="66">
        <f t="shared" si="7"/>
        <v>0</v>
      </c>
      <c r="BZ7" s="66">
        <f t="shared" si="7"/>
        <v>0</v>
      </c>
      <c r="CA7" s="66"/>
      <c r="CB7" s="66">
        <f>AD7-BC7</f>
        <v>0</v>
      </c>
      <c r="CC7" s="22">
        <f t="shared" si="8"/>
        <v>1</v>
      </c>
      <c r="CD7" s="66">
        <f t="shared" si="9"/>
        <v>25000000</v>
      </c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>
        <f>+'[1]OCTUBRE 2019'!$H$3361</f>
        <v>25000000</v>
      </c>
      <c r="CV7" s="66"/>
      <c r="CW7" s="66"/>
      <c r="CX7" s="66"/>
      <c r="CY7" s="66"/>
      <c r="CZ7" s="66"/>
      <c r="DA7" s="66"/>
      <c r="DB7" s="22">
        <f t="shared" si="10"/>
        <v>0</v>
      </c>
      <c r="DC7" s="66">
        <f t="shared" si="11"/>
        <v>0</v>
      </c>
      <c r="DD7" s="66">
        <f t="shared" si="12"/>
        <v>0</v>
      </c>
      <c r="DE7" s="66">
        <f t="shared" si="12"/>
        <v>0</v>
      </c>
      <c r="DF7" s="66">
        <f t="shared" si="12"/>
        <v>0</v>
      </c>
      <c r="DG7" s="66">
        <f t="shared" si="12"/>
        <v>0</v>
      </c>
      <c r="DH7" s="66">
        <f t="shared" si="12"/>
        <v>0</v>
      </c>
      <c r="DI7" s="66">
        <f t="shared" si="12"/>
        <v>0</v>
      </c>
      <c r="DJ7" s="66">
        <f t="shared" si="12"/>
        <v>0</v>
      </c>
      <c r="DK7" s="66">
        <f t="shared" si="12"/>
        <v>0</v>
      </c>
      <c r="DL7" s="66">
        <f t="shared" si="12"/>
        <v>0</v>
      </c>
      <c r="DM7" s="66">
        <f t="shared" si="12"/>
        <v>0</v>
      </c>
      <c r="DN7" s="66">
        <f t="shared" si="12"/>
        <v>0</v>
      </c>
      <c r="DO7" s="66">
        <f t="shared" si="12"/>
        <v>0</v>
      </c>
      <c r="DP7" s="66">
        <f t="shared" si="12"/>
        <v>0</v>
      </c>
      <c r="DQ7" s="66">
        <f t="shared" si="12"/>
        <v>0</v>
      </c>
      <c r="DR7" s="66">
        <f t="shared" si="12"/>
        <v>0</v>
      </c>
      <c r="DS7" s="66">
        <f t="shared" si="12"/>
        <v>0</v>
      </c>
      <c r="DT7" s="66">
        <f t="shared" si="13"/>
        <v>0</v>
      </c>
      <c r="DU7" s="66">
        <f t="shared" si="13"/>
        <v>0</v>
      </c>
      <c r="DV7" s="66">
        <f t="shared" si="13"/>
        <v>0</v>
      </c>
      <c r="DW7" s="66">
        <f t="shared" si="13"/>
        <v>0</v>
      </c>
      <c r="DX7" s="66">
        <f t="shared" si="13"/>
        <v>0</v>
      </c>
      <c r="DY7" s="66"/>
      <c r="DZ7" s="66">
        <f t="shared" si="14"/>
        <v>0</v>
      </c>
    </row>
    <row r="8" spans="1:135" ht="72.599999999999994" hidden="1" customHeight="1" x14ac:dyDescent="0.3">
      <c r="A8" s="128"/>
      <c r="B8" s="247"/>
      <c r="C8" s="121" t="s">
        <v>363</v>
      </c>
      <c r="D8" s="69" t="s">
        <v>362</v>
      </c>
      <c r="E8" s="124">
        <v>510</v>
      </c>
      <c r="F8" s="67" t="s">
        <v>283</v>
      </c>
      <c r="G8" s="66">
        <f t="shared" si="0"/>
        <v>6000000</v>
      </c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>
        <v>6000000</v>
      </c>
      <c r="Y8" s="66"/>
      <c r="Z8" s="66"/>
      <c r="AA8" s="66"/>
      <c r="AB8" s="66"/>
      <c r="AC8" s="66"/>
      <c r="AD8" s="66"/>
      <c r="AE8" s="22">
        <f t="shared" si="1"/>
        <v>1</v>
      </c>
      <c r="AF8" s="66">
        <f t="shared" si="2"/>
        <v>6000000</v>
      </c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>
        <f>+'[2]SEPTIEMBRE 2019'!$Z$2996</f>
        <v>6000000</v>
      </c>
      <c r="AX8" s="66"/>
      <c r="AY8" s="66"/>
      <c r="AZ8" s="66"/>
      <c r="BA8" s="66"/>
      <c r="BB8" s="66"/>
      <c r="BC8" s="66"/>
      <c r="BD8" s="22">
        <f t="shared" si="3"/>
        <v>0</v>
      </c>
      <c r="BE8" s="66">
        <f t="shared" si="4"/>
        <v>0</v>
      </c>
      <c r="BF8" s="66">
        <f t="shared" si="5"/>
        <v>0</v>
      </c>
      <c r="BG8" s="66">
        <f t="shared" si="5"/>
        <v>0</v>
      </c>
      <c r="BH8" s="66">
        <f t="shared" si="5"/>
        <v>0</v>
      </c>
      <c r="BI8" s="66"/>
      <c r="BJ8" s="66">
        <f t="shared" si="6"/>
        <v>0</v>
      </c>
      <c r="BK8" s="66">
        <f t="shared" si="6"/>
        <v>0</v>
      </c>
      <c r="BL8" s="66">
        <f t="shared" si="6"/>
        <v>0</v>
      </c>
      <c r="BM8" s="66">
        <f t="shared" si="6"/>
        <v>0</v>
      </c>
      <c r="BN8" s="66">
        <f t="shared" si="6"/>
        <v>0</v>
      </c>
      <c r="BO8" s="66">
        <f t="shared" si="6"/>
        <v>0</v>
      </c>
      <c r="BP8" s="66">
        <f t="shared" si="6"/>
        <v>0</v>
      </c>
      <c r="BQ8" s="66">
        <f t="shared" si="6"/>
        <v>0</v>
      </c>
      <c r="BR8" s="66">
        <f t="shared" si="6"/>
        <v>0</v>
      </c>
      <c r="BS8" s="66">
        <f t="shared" si="6"/>
        <v>0</v>
      </c>
      <c r="BT8" s="66">
        <f t="shared" si="7"/>
        <v>0</v>
      </c>
      <c r="BU8" s="66">
        <f t="shared" si="7"/>
        <v>0</v>
      </c>
      <c r="BV8" s="66">
        <f t="shared" si="7"/>
        <v>0</v>
      </c>
      <c r="BW8" s="66">
        <f t="shared" si="7"/>
        <v>0</v>
      </c>
      <c r="BX8" s="66">
        <f t="shared" si="7"/>
        <v>0</v>
      </c>
      <c r="BY8" s="66">
        <f t="shared" si="7"/>
        <v>0</v>
      </c>
      <c r="BZ8" s="66">
        <f t="shared" si="7"/>
        <v>0</v>
      </c>
      <c r="CA8" s="66"/>
      <c r="CB8" s="66">
        <f>AD8-BC8</f>
        <v>0</v>
      </c>
      <c r="CC8" s="22">
        <f t="shared" si="8"/>
        <v>0.66666666666666663</v>
      </c>
      <c r="CD8" s="66">
        <f t="shared" si="9"/>
        <v>4000000</v>
      </c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>
        <v>4000000</v>
      </c>
      <c r="CV8" s="66"/>
      <c r="CW8" s="66"/>
      <c r="CX8" s="66"/>
      <c r="CY8" s="66"/>
      <c r="CZ8" s="66"/>
      <c r="DA8" s="66"/>
      <c r="DB8" s="22">
        <f t="shared" si="10"/>
        <v>0.33333333333333337</v>
      </c>
      <c r="DC8" s="66">
        <f t="shared" si="11"/>
        <v>2000000</v>
      </c>
      <c r="DD8" s="66">
        <f t="shared" si="12"/>
        <v>0</v>
      </c>
      <c r="DE8" s="66">
        <f t="shared" si="12"/>
        <v>0</v>
      </c>
      <c r="DF8" s="66">
        <f t="shared" si="12"/>
        <v>0</v>
      </c>
      <c r="DG8" s="66">
        <f t="shared" si="12"/>
        <v>0</v>
      </c>
      <c r="DH8" s="66">
        <f t="shared" si="12"/>
        <v>0</v>
      </c>
      <c r="DI8" s="66">
        <f t="shared" si="12"/>
        <v>0</v>
      </c>
      <c r="DJ8" s="66">
        <f t="shared" si="12"/>
        <v>0</v>
      </c>
      <c r="DK8" s="66">
        <f t="shared" si="12"/>
        <v>0</v>
      </c>
      <c r="DL8" s="66">
        <f t="shared" si="12"/>
        <v>0</v>
      </c>
      <c r="DM8" s="66">
        <f t="shared" si="12"/>
        <v>0</v>
      </c>
      <c r="DN8" s="66">
        <f t="shared" si="12"/>
        <v>0</v>
      </c>
      <c r="DO8" s="66">
        <f t="shared" si="12"/>
        <v>0</v>
      </c>
      <c r="DP8" s="66">
        <f t="shared" si="12"/>
        <v>0</v>
      </c>
      <c r="DQ8" s="66">
        <f t="shared" si="12"/>
        <v>0</v>
      </c>
      <c r="DR8" s="66">
        <f t="shared" si="12"/>
        <v>0</v>
      </c>
      <c r="DS8" s="66">
        <f t="shared" si="12"/>
        <v>0</v>
      </c>
      <c r="DT8" s="66">
        <f t="shared" si="13"/>
        <v>2000000</v>
      </c>
      <c r="DU8" s="66">
        <f t="shared" si="13"/>
        <v>0</v>
      </c>
      <c r="DV8" s="66">
        <f t="shared" si="13"/>
        <v>0</v>
      </c>
      <c r="DW8" s="66">
        <f t="shared" si="13"/>
        <v>0</v>
      </c>
      <c r="DX8" s="66">
        <f t="shared" si="13"/>
        <v>0</v>
      </c>
      <c r="DY8" s="66"/>
      <c r="DZ8" s="66">
        <f t="shared" si="14"/>
        <v>0</v>
      </c>
    </row>
    <row r="9" spans="1:135" ht="59.4" hidden="1" customHeight="1" x14ac:dyDescent="0.3">
      <c r="A9" s="128"/>
      <c r="B9" s="247"/>
      <c r="C9" s="121" t="s">
        <v>361</v>
      </c>
      <c r="D9" s="69" t="s">
        <v>360</v>
      </c>
      <c r="E9" s="124">
        <v>510</v>
      </c>
      <c r="F9" s="67" t="s">
        <v>283</v>
      </c>
      <c r="G9" s="66">
        <f t="shared" si="0"/>
        <v>30000000</v>
      </c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>
        <v>30000000</v>
      </c>
      <c r="Y9" s="66"/>
      <c r="Z9" s="66"/>
      <c r="AA9" s="66"/>
      <c r="AB9" s="66"/>
      <c r="AC9" s="66"/>
      <c r="AD9" s="66"/>
      <c r="AE9" s="22">
        <f t="shared" si="1"/>
        <v>0.67111109999999996</v>
      </c>
      <c r="AF9" s="66">
        <f t="shared" si="2"/>
        <v>20133333</v>
      </c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>
        <f>+'[1]OCTUBRE 2019'!$Z$3391</f>
        <v>20133333</v>
      </c>
      <c r="AX9" s="66"/>
      <c r="AY9" s="66"/>
      <c r="AZ9" s="66"/>
      <c r="BA9" s="66"/>
      <c r="BB9" s="66"/>
      <c r="BC9" s="66"/>
      <c r="BD9" s="22">
        <f t="shared" si="3"/>
        <v>0.32888890000000004</v>
      </c>
      <c r="BE9" s="66">
        <f t="shared" si="4"/>
        <v>9866667</v>
      </c>
      <c r="BF9" s="66">
        <f t="shared" si="5"/>
        <v>0</v>
      </c>
      <c r="BG9" s="66">
        <f t="shared" si="5"/>
        <v>0</v>
      </c>
      <c r="BH9" s="66">
        <f t="shared" si="5"/>
        <v>0</v>
      </c>
      <c r="BI9" s="66"/>
      <c r="BJ9" s="66">
        <f t="shared" si="6"/>
        <v>0</v>
      </c>
      <c r="BK9" s="66">
        <f t="shared" si="6"/>
        <v>0</v>
      </c>
      <c r="BL9" s="66">
        <f t="shared" si="6"/>
        <v>0</v>
      </c>
      <c r="BM9" s="66">
        <f t="shared" si="6"/>
        <v>0</v>
      </c>
      <c r="BN9" s="66">
        <f t="shared" si="6"/>
        <v>0</v>
      </c>
      <c r="BO9" s="66">
        <f t="shared" si="6"/>
        <v>0</v>
      </c>
      <c r="BP9" s="66">
        <f t="shared" si="6"/>
        <v>0</v>
      </c>
      <c r="BQ9" s="66">
        <f t="shared" si="6"/>
        <v>0</v>
      </c>
      <c r="BR9" s="66">
        <f t="shared" si="6"/>
        <v>0</v>
      </c>
      <c r="BS9" s="66">
        <f t="shared" si="6"/>
        <v>0</v>
      </c>
      <c r="BT9" s="66">
        <f t="shared" si="7"/>
        <v>0</v>
      </c>
      <c r="BU9" s="66">
        <f t="shared" si="7"/>
        <v>0</v>
      </c>
      <c r="BV9" s="66">
        <f t="shared" si="7"/>
        <v>9866667</v>
      </c>
      <c r="BW9" s="66">
        <f t="shared" si="7"/>
        <v>0</v>
      </c>
      <c r="BX9" s="66">
        <f t="shared" si="7"/>
        <v>0</v>
      </c>
      <c r="BY9" s="66">
        <f t="shared" si="7"/>
        <v>0</v>
      </c>
      <c r="BZ9" s="66">
        <f t="shared" si="7"/>
        <v>0</v>
      </c>
      <c r="CA9" s="66"/>
      <c r="CB9" s="66">
        <f>AD9-BC9</f>
        <v>0</v>
      </c>
      <c r="CC9" s="22">
        <f t="shared" si="8"/>
        <v>0.67111109999999996</v>
      </c>
      <c r="CD9" s="66">
        <f t="shared" si="9"/>
        <v>20133333</v>
      </c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>
        <f>+'[3]JULIO 2019'!$H$2254</f>
        <v>20133333</v>
      </c>
      <c r="CV9" s="66"/>
      <c r="CW9" s="66"/>
      <c r="CX9" s="66"/>
      <c r="CY9" s="66"/>
      <c r="CZ9" s="66"/>
      <c r="DA9" s="66"/>
      <c r="DB9" s="22">
        <f t="shared" si="10"/>
        <v>0.32888890000000004</v>
      </c>
      <c r="DC9" s="66">
        <f t="shared" si="11"/>
        <v>9866667</v>
      </c>
      <c r="DD9" s="66">
        <f t="shared" si="12"/>
        <v>0</v>
      </c>
      <c r="DE9" s="66">
        <f t="shared" si="12"/>
        <v>0</v>
      </c>
      <c r="DF9" s="66">
        <f t="shared" si="12"/>
        <v>0</v>
      </c>
      <c r="DG9" s="66">
        <f t="shared" si="12"/>
        <v>0</v>
      </c>
      <c r="DH9" s="66">
        <f t="shared" si="12"/>
        <v>0</v>
      </c>
      <c r="DI9" s="66">
        <f t="shared" si="12"/>
        <v>0</v>
      </c>
      <c r="DJ9" s="66">
        <f t="shared" si="12"/>
        <v>0</v>
      </c>
      <c r="DK9" s="66">
        <f t="shared" si="12"/>
        <v>0</v>
      </c>
      <c r="DL9" s="66">
        <f t="shared" si="12"/>
        <v>0</v>
      </c>
      <c r="DM9" s="66">
        <f t="shared" si="12"/>
        <v>0</v>
      </c>
      <c r="DN9" s="66">
        <f t="shared" si="12"/>
        <v>0</v>
      </c>
      <c r="DO9" s="66">
        <f t="shared" si="12"/>
        <v>0</v>
      </c>
      <c r="DP9" s="66">
        <f t="shared" si="12"/>
        <v>0</v>
      </c>
      <c r="DQ9" s="66">
        <f t="shared" si="12"/>
        <v>0</v>
      </c>
      <c r="DR9" s="66">
        <f t="shared" si="12"/>
        <v>0</v>
      </c>
      <c r="DS9" s="66">
        <f t="shared" si="12"/>
        <v>0</v>
      </c>
      <c r="DT9" s="66">
        <f t="shared" si="13"/>
        <v>9866667</v>
      </c>
      <c r="DU9" s="66">
        <f t="shared" si="13"/>
        <v>0</v>
      </c>
      <c r="DV9" s="66">
        <f t="shared" si="13"/>
        <v>0</v>
      </c>
      <c r="DW9" s="66">
        <f t="shared" si="13"/>
        <v>0</v>
      </c>
      <c r="DX9" s="66">
        <f t="shared" si="13"/>
        <v>0</v>
      </c>
      <c r="DY9" s="66"/>
      <c r="DZ9" s="66">
        <f t="shared" si="14"/>
        <v>0</v>
      </c>
    </row>
    <row r="10" spans="1:135" ht="36.6" hidden="1" customHeight="1" x14ac:dyDescent="0.3">
      <c r="A10" s="128"/>
      <c r="B10" s="248"/>
      <c r="C10" s="121" t="s">
        <v>359</v>
      </c>
      <c r="D10" s="69" t="s">
        <v>358</v>
      </c>
      <c r="E10" s="124">
        <v>510</v>
      </c>
      <c r="F10" s="67" t="s">
        <v>283</v>
      </c>
      <c r="G10" s="66">
        <f t="shared" si="0"/>
        <v>5000000</v>
      </c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>
        <v>5000000</v>
      </c>
      <c r="Y10" s="66"/>
      <c r="Z10" s="66"/>
      <c r="AA10" s="66"/>
      <c r="AB10" s="66"/>
      <c r="AC10" s="66"/>
      <c r="AD10" s="66"/>
      <c r="AE10" s="22">
        <f t="shared" si="1"/>
        <v>0.9982666</v>
      </c>
      <c r="AF10" s="66">
        <f t="shared" si="2"/>
        <v>4991333</v>
      </c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>
        <f>+'[1]OCTUBRE 2019'!$Z$3398</f>
        <v>4991333</v>
      </c>
      <c r="AX10" s="66"/>
      <c r="AY10" s="66"/>
      <c r="AZ10" s="66"/>
      <c r="BA10" s="66"/>
      <c r="BB10" s="66"/>
      <c r="BC10" s="66"/>
      <c r="BD10" s="22">
        <f t="shared" si="3"/>
        <v>1.7333999999999961E-3</v>
      </c>
      <c r="BE10" s="66">
        <f t="shared" si="4"/>
        <v>8667</v>
      </c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>
        <f t="shared" si="7"/>
        <v>8667</v>
      </c>
      <c r="BW10" s="66">
        <f t="shared" si="7"/>
        <v>0</v>
      </c>
      <c r="BX10" s="66"/>
      <c r="BY10" s="66"/>
      <c r="BZ10" s="66"/>
      <c r="CA10" s="66"/>
      <c r="CB10" s="66"/>
      <c r="CC10" s="22">
        <f t="shared" si="8"/>
        <v>0.9982666</v>
      </c>
      <c r="CD10" s="66">
        <f t="shared" si="9"/>
        <v>4991333</v>
      </c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>
        <f>+'[4]JUNIO 2019'!$H$1827</f>
        <v>4991333</v>
      </c>
      <c r="CV10" s="66"/>
      <c r="CW10" s="66"/>
      <c r="CX10" s="66"/>
      <c r="CY10" s="66"/>
      <c r="CZ10" s="66"/>
      <c r="DA10" s="66"/>
      <c r="DB10" s="22">
        <f t="shared" si="10"/>
        <v>1.7333999999999961E-3</v>
      </c>
      <c r="DC10" s="66">
        <f t="shared" si="11"/>
        <v>8667</v>
      </c>
      <c r="DD10" s="66">
        <f t="shared" si="12"/>
        <v>0</v>
      </c>
      <c r="DE10" s="66">
        <f t="shared" si="12"/>
        <v>0</v>
      </c>
      <c r="DF10" s="66">
        <f t="shared" si="12"/>
        <v>0</v>
      </c>
      <c r="DG10" s="66">
        <f t="shared" si="12"/>
        <v>0</v>
      </c>
      <c r="DH10" s="66">
        <f t="shared" si="12"/>
        <v>0</v>
      </c>
      <c r="DI10" s="66">
        <f t="shared" si="12"/>
        <v>0</v>
      </c>
      <c r="DJ10" s="66">
        <f t="shared" si="12"/>
        <v>0</v>
      </c>
      <c r="DK10" s="66">
        <f t="shared" si="12"/>
        <v>0</v>
      </c>
      <c r="DL10" s="66">
        <f t="shared" si="12"/>
        <v>0</v>
      </c>
      <c r="DM10" s="66">
        <f t="shared" si="12"/>
        <v>0</v>
      </c>
      <c r="DN10" s="66">
        <f t="shared" si="12"/>
        <v>0</v>
      </c>
      <c r="DO10" s="66">
        <f t="shared" si="12"/>
        <v>0</v>
      </c>
      <c r="DP10" s="66">
        <f t="shared" si="12"/>
        <v>0</v>
      </c>
      <c r="DQ10" s="66">
        <f t="shared" si="12"/>
        <v>0</v>
      </c>
      <c r="DR10" s="66">
        <f t="shared" si="12"/>
        <v>0</v>
      </c>
      <c r="DS10" s="66">
        <f t="shared" si="12"/>
        <v>0</v>
      </c>
      <c r="DT10" s="66">
        <f t="shared" si="13"/>
        <v>8667</v>
      </c>
      <c r="DU10" s="66">
        <f t="shared" si="13"/>
        <v>0</v>
      </c>
      <c r="DV10" s="66">
        <f t="shared" si="13"/>
        <v>0</v>
      </c>
      <c r="DW10" s="66">
        <f t="shared" si="13"/>
        <v>0</v>
      </c>
      <c r="DX10" s="66">
        <f t="shared" si="13"/>
        <v>0</v>
      </c>
      <c r="DY10" s="66"/>
      <c r="DZ10" s="66">
        <f t="shared" si="14"/>
        <v>0</v>
      </c>
    </row>
    <row r="11" spans="1:135" ht="51" hidden="1" customHeight="1" x14ac:dyDescent="0.3">
      <c r="A11" s="128"/>
      <c r="B11" s="241" t="s">
        <v>357</v>
      </c>
      <c r="C11" s="121" t="s">
        <v>356</v>
      </c>
      <c r="D11" s="71" t="s">
        <v>355</v>
      </c>
      <c r="E11" s="124">
        <v>510</v>
      </c>
      <c r="F11" s="67" t="s">
        <v>354</v>
      </c>
      <c r="G11" s="66">
        <f t="shared" si="0"/>
        <v>126000000</v>
      </c>
      <c r="H11" s="66"/>
      <c r="I11" s="66"/>
      <c r="J11" s="66"/>
      <c r="K11" s="66"/>
      <c r="L11" s="66"/>
      <c r="M11" s="66"/>
      <c r="N11" s="66"/>
      <c r="O11" s="66"/>
      <c r="P11" s="66">
        <v>15000000</v>
      </c>
      <c r="Q11" s="66">
        <v>15000000</v>
      </c>
      <c r="R11" s="66">
        <v>15000000</v>
      </c>
      <c r="S11" s="66"/>
      <c r="T11" s="66"/>
      <c r="U11" s="66"/>
      <c r="V11" s="66"/>
      <c r="W11" s="66"/>
      <c r="X11" s="66">
        <v>16000000</v>
      </c>
      <c r="Y11" s="66"/>
      <c r="Z11" s="66"/>
      <c r="AA11" s="66"/>
      <c r="AB11" s="66"/>
      <c r="AC11" s="66"/>
      <c r="AD11" s="66">
        <f>45000000+25000000+5000000+5000000-15000000</f>
        <v>65000000</v>
      </c>
      <c r="AE11" s="22">
        <f t="shared" si="1"/>
        <v>0.45997091269841273</v>
      </c>
      <c r="AF11" s="66">
        <f t="shared" si="2"/>
        <v>57956335</v>
      </c>
      <c r="AG11" s="66"/>
      <c r="AH11" s="66"/>
      <c r="AI11" s="66"/>
      <c r="AJ11" s="66"/>
      <c r="AK11" s="66"/>
      <c r="AL11" s="66"/>
      <c r="AM11" s="66"/>
      <c r="AN11" s="66"/>
      <c r="AO11" s="66"/>
      <c r="AP11" s="66">
        <f>+'[1]OCTUBRE 2019'!$S$3409</f>
        <v>14999964</v>
      </c>
      <c r="AQ11" s="66"/>
      <c r="AR11" s="66"/>
      <c r="AS11" s="66"/>
      <c r="AT11" s="66"/>
      <c r="AU11" s="66"/>
      <c r="AV11" s="66"/>
      <c r="AW11" s="66">
        <f>+'[3]JULIO 2019'!$Y$2274</f>
        <v>16000000</v>
      </c>
      <c r="AX11" s="66"/>
      <c r="AY11" s="66"/>
      <c r="AZ11" s="66"/>
      <c r="BA11" s="66"/>
      <c r="BB11" s="66"/>
      <c r="BC11" s="66">
        <f>+'[1]OCTUBRE 2019'!$AG$3409</f>
        <v>26956371</v>
      </c>
      <c r="BD11" s="22">
        <f t="shared" si="3"/>
        <v>0.54002908730158727</v>
      </c>
      <c r="BE11" s="66">
        <f t="shared" si="4"/>
        <v>68043665</v>
      </c>
      <c r="BF11" s="66">
        <f t="shared" ref="BF11:BH14" si="15">H11-AG11</f>
        <v>0</v>
      </c>
      <c r="BG11" s="66">
        <f t="shared" si="15"/>
        <v>0</v>
      </c>
      <c r="BH11" s="66">
        <f t="shared" si="15"/>
        <v>0</v>
      </c>
      <c r="BI11" s="66">
        <f t="shared" ref="BI11:BI39" si="16">+K11-AJ11</f>
        <v>0</v>
      </c>
      <c r="BJ11" s="66">
        <f t="shared" ref="BJ11:BU14" si="17">L11-AK11</f>
        <v>0</v>
      </c>
      <c r="BK11" s="66">
        <f t="shared" si="17"/>
        <v>0</v>
      </c>
      <c r="BL11" s="66">
        <f t="shared" si="17"/>
        <v>0</v>
      </c>
      <c r="BM11" s="66">
        <f t="shared" si="17"/>
        <v>0</v>
      </c>
      <c r="BN11" s="66">
        <f t="shared" si="17"/>
        <v>15000000</v>
      </c>
      <c r="BO11" s="66">
        <f t="shared" si="17"/>
        <v>36</v>
      </c>
      <c r="BP11" s="66">
        <f t="shared" si="17"/>
        <v>15000000</v>
      </c>
      <c r="BQ11" s="66">
        <f t="shared" si="17"/>
        <v>0</v>
      </c>
      <c r="BR11" s="66">
        <f t="shared" si="17"/>
        <v>0</v>
      </c>
      <c r="BS11" s="66">
        <f t="shared" si="17"/>
        <v>0</v>
      </c>
      <c r="BT11" s="66">
        <f t="shared" si="17"/>
        <v>0</v>
      </c>
      <c r="BU11" s="66">
        <f t="shared" si="17"/>
        <v>0</v>
      </c>
      <c r="BV11" s="66">
        <f t="shared" si="7"/>
        <v>0</v>
      </c>
      <c r="BW11" s="66">
        <f t="shared" si="7"/>
        <v>0</v>
      </c>
      <c r="BX11" s="66">
        <f t="shared" si="7"/>
        <v>0</v>
      </c>
      <c r="BY11" s="66">
        <f t="shared" si="7"/>
        <v>0</v>
      </c>
      <c r="BZ11" s="66">
        <f t="shared" si="7"/>
        <v>0</v>
      </c>
      <c r="CA11" s="66">
        <f t="shared" si="7"/>
        <v>0</v>
      </c>
      <c r="CB11" s="66">
        <f t="shared" si="7"/>
        <v>38043629</v>
      </c>
      <c r="CC11" s="22">
        <f t="shared" si="8"/>
        <v>0.31956807936507936</v>
      </c>
      <c r="CD11" s="66">
        <f t="shared" si="9"/>
        <v>40265578</v>
      </c>
      <c r="CE11" s="66"/>
      <c r="CF11" s="66"/>
      <c r="CG11" s="66"/>
      <c r="CH11" s="66"/>
      <c r="CI11" s="66"/>
      <c r="CJ11" s="66"/>
      <c r="CK11" s="66"/>
      <c r="CL11" s="66"/>
      <c r="CM11" s="66"/>
      <c r="CN11" s="66">
        <f>+'[1]OCTUBRE 2019'!$H$3424</f>
        <v>14999964</v>
      </c>
      <c r="CO11" s="66"/>
      <c r="CP11" s="66"/>
      <c r="CQ11" s="66"/>
      <c r="CR11" s="66"/>
      <c r="CS11" s="66"/>
      <c r="CT11" s="66"/>
      <c r="CU11" s="66">
        <f>+'[1]OCTUBRE 2019'!$H$3417</f>
        <v>7200000</v>
      </c>
      <c r="CV11" s="66"/>
      <c r="CW11" s="66"/>
      <c r="CX11" s="66"/>
      <c r="CY11" s="66"/>
      <c r="CZ11" s="66"/>
      <c r="DA11" s="66">
        <f>+'[1]OCTUBRE 2019'!$H$3410+'[1]OCTUBRE 2019'!$H$3413+'[1]OCTUBRE 2019'!$H$3414+'[1]OCTUBRE 2019'!$H$3415+'[1]OCTUBRE 2019'!$H$3416+'[1]OCTUBRE 2019'!$H$3419+'[1]OCTUBRE 2019'!$H$3422+'[1]OCTUBRE 2019'!$H$3428</f>
        <v>18065614</v>
      </c>
      <c r="DB11" s="22">
        <f t="shared" si="10"/>
        <v>0.68043192063492064</v>
      </c>
      <c r="DC11" s="66">
        <f t="shared" si="11"/>
        <v>85734422</v>
      </c>
      <c r="DD11" s="66">
        <f t="shared" si="12"/>
        <v>0</v>
      </c>
      <c r="DE11" s="66">
        <f t="shared" si="12"/>
        <v>0</v>
      </c>
      <c r="DF11" s="66">
        <f t="shared" si="12"/>
        <v>0</v>
      </c>
      <c r="DG11" s="66">
        <f t="shared" si="12"/>
        <v>0</v>
      </c>
      <c r="DH11" s="66">
        <f t="shared" si="12"/>
        <v>0</v>
      </c>
      <c r="DI11" s="66">
        <f t="shared" si="12"/>
        <v>0</v>
      </c>
      <c r="DJ11" s="66">
        <f t="shared" si="12"/>
        <v>0</v>
      </c>
      <c r="DK11" s="66">
        <f t="shared" si="12"/>
        <v>0</v>
      </c>
      <c r="DL11" s="66">
        <f t="shared" si="12"/>
        <v>15000000</v>
      </c>
      <c r="DM11" s="66">
        <f t="shared" si="12"/>
        <v>36</v>
      </c>
      <c r="DN11" s="66">
        <f t="shared" si="12"/>
        <v>15000000</v>
      </c>
      <c r="DO11" s="66">
        <f t="shared" si="12"/>
        <v>0</v>
      </c>
      <c r="DP11" s="66">
        <f t="shared" si="12"/>
        <v>0</v>
      </c>
      <c r="DQ11" s="66">
        <f t="shared" si="12"/>
        <v>0</v>
      </c>
      <c r="DR11" s="66">
        <f t="shared" si="12"/>
        <v>0</v>
      </c>
      <c r="DS11" s="66">
        <f t="shared" si="12"/>
        <v>0</v>
      </c>
      <c r="DT11" s="66">
        <f t="shared" si="13"/>
        <v>8800000</v>
      </c>
      <c r="DU11" s="66">
        <f t="shared" si="13"/>
        <v>0</v>
      </c>
      <c r="DV11" s="66">
        <f t="shared" si="13"/>
        <v>0</v>
      </c>
      <c r="DW11" s="66">
        <f t="shared" si="13"/>
        <v>0</v>
      </c>
      <c r="DX11" s="66">
        <f t="shared" si="13"/>
        <v>0</v>
      </c>
      <c r="DY11" s="66">
        <f>AC11-CZ11</f>
        <v>0</v>
      </c>
      <c r="DZ11" s="66">
        <f t="shared" si="14"/>
        <v>46934386</v>
      </c>
    </row>
    <row r="12" spans="1:135" ht="21" hidden="1" customHeight="1" x14ac:dyDescent="0.3">
      <c r="A12" s="128"/>
      <c r="B12" s="241"/>
      <c r="C12" s="121" t="s">
        <v>353</v>
      </c>
      <c r="D12" s="123" t="s">
        <v>352</v>
      </c>
      <c r="E12" s="124">
        <v>510</v>
      </c>
      <c r="F12" s="67" t="s">
        <v>283</v>
      </c>
      <c r="G12" s="66">
        <f t="shared" si="0"/>
        <v>992811018</v>
      </c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>
        <v>20000000</v>
      </c>
      <c r="Y12" s="66"/>
      <c r="Z12" s="66"/>
      <c r="AA12" s="66"/>
      <c r="AB12" s="66"/>
      <c r="AC12" s="66">
        <v>972811018</v>
      </c>
      <c r="AD12" s="66"/>
      <c r="AE12" s="22">
        <f t="shared" si="1"/>
        <v>0.5684163347993787</v>
      </c>
      <c r="AF12" s="66">
        <f t="shared" si="2"/>
        <v>564330000</v>
      </c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>
        <f>+'[2]SEPTIEMBRE 2019'!$AF$3048</f>
        <v>564330000</v>
      </c>
      <c r="BC12" s="66"/>
      <c r="BD12" s="22">
        <f t="shared" si="3"/>
        <v>0.4315836652006213</v>
      </c>
      <c r="BE12" s="66">
        <f t="shared" si="4"/>
        <v>428481018</v>
      </c>
      <c r="BF12" s="66">
        <f t="shared" si="15"/>
        <v>0</v>
      </c>
      <c r="BG12" s="66">
        <f t="shared" si="15"/>
        <v>0</v>
      </c>
      <c r="BH12" s="66">
        <f t="shared" si="15"/>
        <v>0</v>
      </c>
      <c r="BI12" s="66">
        <f t="shared" si="16"/>
        <v>0</v>
      </c>
      <c r="BJ12" s="66">
        <f t="shared" si="17"/>
        <v>0</v>
      </c>
      <c r="BK12" s="66">
        <f t="shared" si="17"/>
        <v>0</v>
      </c>
      <c r="BL12" s="66">
        <f t="shared" si="17"/>
        <v>0</v>
      </c>
      <c r="BM12" s="66">
        <f t="shared" si="17"/>
        <v>0</v>
      </c>
      <c r="BN12" s="66">
        <f t="shared" si="17"/>
        <v>0</v>
      </c>
      <c r="BO12" s="66">
        <f t="shared" si="17"/>
        <v>0</v>
      </c>
      <c r="BP12" s="66">
        <f t="shared" si="17"/>
        <v>0</v>
      </c>
      <c r="BQ12" s="66">
        <f t="shared" si="17"/>
        <v>0</v>
      </c>
      <c r="BR12" s="66">
        <f t="shared" si="17"/>
        <v>0</v>
      </c>
      <c r="BS12" s="66">
        <f t="shared" si="17"/>
        <v>0</v>
      </c>
      <c r="BT12" s="66">
        <f t="shared" si="17"/>
        <v>0</v>
      </c>
      <c r="BU12" s="66">
        <f t="shared" si="17"/>
        <v>0</v>
      </c>
      <c r="BV12" s="66">
        <f t="shared" si="7"/>
        <v>20000000</v>
      </c>
      <c r="BW12" s="66">
        <f t="shared" si="7"/>
        <v>0</v>
      </c>
      <c r="BX12" s="66">
        <f t="shared" si="7"/>
        <v>0</v>
      </c>
      <c r="BY12" s="66">
        <f t="shared" si="7"/>
        <v>0</v>
      </c>
      <c r="BZ12" s="66">
        <f t="shared" si="7"/>
        <v>0</v>
      </c>
      <c r="CA12" s="66">
        <f t="shared" si="7"/>
        <v>408481018</v>
      </c>
      <c r="CB12" s="66">
        <f t="shared" si="7"/>
        <v>0</v>
      </c>
      <c r="CC12" s="22">
        <f t="shared" si="8"/>
        <v>0.47042606753181704</v>
      </c>
      <c r="CD12" s="66">
        <f t="shared" si="9"/>
        <v>467044183</v>
      </c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>
        <f>+'[1]OCTUBRE 2019'!$H$3432</f>
        <v>467044183</v>
      </c>
      <c r="DA12" s="66"/>
      <c r="DB12" s="22">
        <f t="shared" si="10"/>
        <v>0.52957393246818296</v>
      </c>
      <c r="DC12" s="66">
        <f t="shared" si="11"/>
        <v>525766835</v>
      </c>
      <c r="DD12" s="66">
        <f t="shared" si="12"/>
        <v>0</v>
      </c>
      <c r="DE12" s="66">
        <f t="shared" si="12"/>
        <v>0</v>
      </c>
      <c r="DF12" s="66">
        <f t="shared" si="12"/>
        <v>0</v>
      </c>
      <c r="DG12" s="66">
        <f t="shared" si="12"/>
        <v>0</v>
      </c>
      <c r="DH12" s="66">
        <f t="shared" si="12"/>
        <v>0</v>
      </c>
      <c r="DI12" s="66">
        <f t="shared" si="12"/>
        <v>0</v>
      </c>
      <c r="DJ12" s="66">
        <f t="shared" si="12"/>
        <v>0</v>
      </c>
      <c r="DK12" s="66">
        <f t="shared" si="12"/>
        <v>0</v>
      </c>
      <c r="DL12" s="66">
        <f t="shared" si="12"/>
        <v>0</v>
      </c>
      <c r="DM12" s="66">
        <f t="shared" si="12"/>
        <v>0</v>
      </c>
      <c r="DN12" s="66">
        <f t="shared" si="12"/>
        <v>0</v>
      </c>
      <c r="DO12" s="66">
        <f t="shared" si="12"/>
        <v>0</v>
      </c>
      <c r="DP12" s="66">
        <f t="shared" si="12"/>
        <v>0</v>
      </c>
      <c r="DQ12" s="66">
        <f t="shared" si="12"/>
        <v>0</v>
      </c>
      <c r="DR12" s="66">
        <f t="shared" si="12"/>
        <v>0</v>
      </c>
      <c r="DS12" s="66">
        <f t="shared" si="12"/>
        <v>0</v>
      </c>
      <c r="DT12" s="66">
        <f t="shared" si="13"/>
        <v>20000000</v>
      </c>
      <c r="DU12" s="66">
        <f t="shared" si="13"/>
        <v>0</v>
      </c>
      <c r="DV12" s="66">
        <f t="shared" si="13"/>
        <v>0</v>
      </c>
      <c r="DW12" s="66">
        <f t="shared" si="13"/>
        <v>0</v>
      </c>
      <c r="DX12" s="66">
        <f t="shared" si="13"/>
        <v>0</v>
      </c>
      <c r="DY12" s="66">
        <f>AC12-CZ12</f>
        <v>505766835</v>
      </c>
      <c r="DZ12" s="66">
        <f t="shared" si="14"/>
        <v>0</v>
      </c>
    </row>
    <row r="13" spans="1:135" ht="41.4" hidden="1" customHeight="1" x14ac:dyDescent="0.3">
      <c r="A13" s="128"/>
      <c r="B13" s="241"/>
      <c r="C13" s="121" t="s">
        <v>351</v>
      </c>
      <c r="D13" s="71" t="s">
        <v>350</v>
      </c>
      <c r="E13" s="124">
        <v>510</v>
      </c>
      <c r="F13" s="67" t="s">
        <v>283</v>
      </c>
      <c r="G13" s="66">
        <f t="shared" si="0"/>
        <v>15000000</v>
      </c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>
        <v>15000000</v>
      </c>
      <c r="Y13" s="66"/>
      <c r="Z13" s="66"/>
      <c r="AA13" s="66"/>
      <c r="AB13" s="66"/>
      <c r="AC13" s="66"/>
      <c r="AD13" s="66"/>
      <c r="AE13" s="22">
        <f t="shared" si="1"/>
        <v>1</v>
      </c>
      <c r="AF13" s="66">
        <f t="shared" si="2"/>
        <v>15000000</v>
      </c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>
        <f>+'[5]MARZO 2019'!$Y$1108</f>
        <v>15000000</v>
      </c>
      <c r="AX13" s="66"/>
      <c r="AY13" s="66"/>
      <c r="AZ13" s="66"/>
      <c r="BA13" s="66"/>
      <c r="BB13" s="66"/>
      <c r="BC13" s="66"/>
      <c r="BD13" s="22">
        <f t="shared" si="3"/>
        <v>0</v>
      </c>
      <c r="BE13" s="66">
        <f t="shared" si="4"/>
        <v>0</v>
      </c>
      <c r="BF13" s="66">
        <f t="shared" si="15"/>
        <v>0</v>
      </c>
      <c r="BG13" s="66">
        <f t="shared" si="15"/>
        <v>0</v>
      </c>
      <c r="BH13" s="66">
        <f t="shared" si="15"/>
        <v>0</v>
      </c>
      <c r="BI13" s="66">
        <f t="shared" si="16"/>
        <v>0</v>
      </c>
      <c r="BJ13" s="66">
        <f t="shared" si="17"/>
        <v>0</v>
      </c>
      <c r="BK13" s="66">
        <f t="shared" si="17"/>
        <v>0</v>
      </c>
      <c r="BL13" s="66">
        <f t="shared" si="17"/>
        <v>0</v>
      </c>
      <c r="BM13" s="66">
        <f t="shared" si="17"/>
        <v>0</v>
      </c>
      <c r="BN13" s="66">
        <f t="shared" si="17"/>
        <v>0</v>
      </c>
      <c r="BO13" s="66">
        <f t="shared" si="17"/>
        <v>0</v>
      </c>
      <c r="BP13" s="66">
        <f t="shared" si="17"/>
        <v>0</v>
      </c>
      <c r="BQ13" s="66">
        <f t="shared" si="17"/>
        <v>0</v>
      </c>
      <c r="BR13" s="66">
        <f t="shared" si="17"/>
        <v>0</v>
      </c>
      <c r="BS13" s="66">
        <f t="shared" si="17"/>
        <v>0</v>
      </c>
      <c r="BT13" s="66">
        <f t="shared" si="17"/>
        <v>0</v>
      </c>
      <c r="BU13" s="66">
        <f t="shared" si="17"/>
        <v>0</v>
      </c>
      <c r="BV13" s="66">
        <f t="shared" si="7"/>
        <v>0</v>
      </c>
      <c r="BW13" s="66">
        <f t="shared" si="7"/>
        <v>0</v>
      </c>
      <c r="BX13" s="66">
        <f t="shared" si="7"/>
        <v>0</v>
      </c>
      <c r="BY13" s="66">
        <f t="shared" si="7"/>
        <v>0</v>
      </c>
      <c r="BZ13" s="66">
        <f t="shared" si="7"/>
        <v>0</v>
      </c>
      <c r="CA13" s="66"/>
      <c r="CB13" s="66">
        <f>AD13-BC13</f>
        <v>0</v>
      </c>
      <c r="CC13" s="22">
        <f t="shared" si="8"/>
        <v>0.87111106666666671</v>
      </c>
      <c r="CD13" s="66">
        <f t="shared" si="9"/>
        <v>13066666</v>
      </c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>
        <f>+'[3]JULIO 2019'!$H$2299</f>
        <v>13066666</v>
      </c>
      <c r="CV13" s="66"/>
      <c r="CW13" s="66"/>
      <c r="CX13" s="66"/>
      <c r="CY13" s="66"/>
      <c r="CZ13" s="66"/>
      <c r="DA13" s="66"/>
      <c r="DB13" s="22">
        <f t="shared" si="10"/>
        <v>0.12888893333333329</v>
      </c>
      <c r="DC13" s="66">
        <f t="shared" si="11"/>
        <v>1933334</v>
      </c>
      <c r="DD13" s="66">
        <f t="shared" si="12"/>
        <v>0</v>
      </c>
      <c r="DE13" s="66">
        <f t="shared" si="12"/>
        <v>0</v>
      </c>
      <c r="DF13" s="66">
        <f t="shared" si="12"/>
        <v>0</v>
      </c>
      <c r="DG13" s="66">
        <f t="shared" si="12"/>
        <v>0</v>
      </c>
      <c r="DH13" s="66">
        <f t="shared" si="12"/>
        <v>0</v>
      </c>
      <c r="DI13" s="66">
        <f t="shared" si="12"/>
        <v>0</v>
      </c>
      <c r="DJ13" s="66">
        <f t="shared" si="12"/>
        <v>0</v>
      </c>
      <c r="DK13" s="66">
        <f t="shared" si="12"/>
        <v>0</v>
      </c>
      <c r="DL13" s="66">
        <f t="shared" si="12"/>
        <v>0</v>
      </c>
      <c r="DM13" s="66">
        <f t="shared" si="12"/>
        <v>0</v>
      </c>
      <c r="DN13" s="66">
        <f t="shared" si="12"/>
        <v>0</v>
      </c>
      <c r="DO13" s="66">
        <f t="shared" si="12"/>
        <v>0</v>
      </c>
      <c r="DP13" s="66">
        <f t="shared" si="12"/>
        <v>0</v>
      </c>
      <c r="DQ13" s="66">
        <f t="shared" si="12"/>
        <v>0</v>
      </c>
      <c r="DR13" s="66">
        <f t="shared" si="12"/>
        <v>0</v>
      </c>
      <c r="DS13" s="66">
        <f t="shared" si="12"/>
        <v>0</v>
      </c>
      <c r="DT13" s="66">
        <f t="shared" si="13"/>
        <v>1933334</v>
      </c>
      <c r="DU13" s="66">
        <f t="shared" si="13"/>
        <v>0</v>
      </c>
      <c r="DV13" s="66">
        <f t="shared" si="13"/>
        <v>0</v>
      </c>
      <c r="DW13" s="66">
        <f t="shared" si="13"/>
        <v>0</v>
      </c>
      <c r="DX13" s="66">
        <f t="shared" si="13"/>
        <v>0</v>
      </c>
      <c r="DY13" s="66"/>
      <c r="DZ13" s="66">
        <f t="shared" si="14"/>
        <v>0</v>
      </c>
    </row>
    <row r="14" spans="1:135" ht="28.8" hidden="1" customHeight="1" x14ac:dyDescent="0.3">
      <c r="A14" s="128"/>
      <c r="B14" s="241"/>
      <c r="C14" s="121" t="s">
        <v>349</v>
      </c>
      <c r="D14" s="71" t="s">
        <v>348</v>
      </c>
      <c r="E14" s="124">
        <v>510</v>
      </c>
      <c r="F14" s="67" t="s">
        <v>283</v>
      </c>
      <c r="G14" s="66">
        <f t="shared" si="0"/>
        <v>15000000</v>
      </c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>
        <f>40000000-25000000</f>
        <v>15000000</v>
      </c>
      <c r="Y14" s="66"/>
      <c r="Z14" s="66"/>
      <c r="AA14" s="66"/>
      <c r="AB14" s="66"/>
      <c r="AC14" s="66"/>
      <c r="AD14" s="66"/>
      <c r="AE14" s="22">
        <f t="shared" si="1"/>
        <v>0</v>
      </c>
      <c r="AF14" s="66">
        <f t="shared" si="2"/>
        <v>0</v>
      </c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22">
        <f t="shared" si="3"/>
        <v>1</v>
      </c>
      <c r="BE14" s="66">
        <f t="shared" si="4"/>
        <v>15000000</v>
      </c>
      <c r="BF14" s="66">
        <f t="shared" si="15"/>
        <v>0</v>
      </c>
      <c r="BG14" s="66">
        <f t="shared" si="15"/>
        <v>0</v>
      </c>
      <c r="BH14" s="66">
        <f t="shared" si="15"/>
        <v>0</v>
      </c>
      <c r="BI14" s="66">
        <f t="shared" si="16"/>
        <v>0</v>
      </c>
      <c r="BJ14" s="66">
        <f t="shared" si="17"/>
        <v>0</v>
      </c>
      <c r="BK14" s="66">
        <f t="shared" si="17"/>
        <v>0</v>
      </c>
      <c r="BL14" s="66">
        <f t="shared" si="17"/>
        <v>0</v>
      </c>
      <c r="BM14" s="66">
        <f t="shared" si="17"/>
        <v>0</v>
      </c>
      <c r="BN14" s="66">
        <f t="shared" si="17"/>
        <v>0</v>
      </c>
      <c r="BO14" s="66">
        <f t="shared" si="17"/>
        <v>0</v>
      </c>
      <c r="BP14" s="66">
        <f t="shared" si="17"/>
        <v>0</v>
      </c>
      <c r="BQ14" s="66">
        <f t="shared" si="17"/>
        <v>0</v>
      </c>
      <c r="BR14" s="66">
        <f t="shared" si="17"/>
        <v>0</v>
      </c>
      <c r="BS14" s="66">
        <f t="shared" si="17"/>
        <v>0</v>
      </c>
      <c r="BT14" s="66">
        <f t="shared" si="17"/>
        <v>0</v>
      </c>
      <c r="BU14" s="66">
        <f t="shared" si="17"/>
        <v>0</v>
      </c>
      <c r="BV14" s="66">
        <f t="shared" si="7"/>
        <v>15000000</v>
      </c>
      <c r="BW14" s="66">
        <f t="shared" si="7"/>
        <v>0</v>
      </c>
      <c r="BX14" s="66">
        <f t="shared" si="7"/>
        <v>0</v>
      </c>
      <c r="BY14" s="66">
        <f t="shared" si="7"/>
        <v>0</v>
      </c>
      <c r="BZ14" s="66">
        <f t="shared" si="7"/>
        <v>0</v>
      </c>
      <c r="CA14" s="66"/>
      <c r="CB14" s="66">
        <f>AD14-BC14</f>
        <v>0</v>
      </c>
      <c r="CC14" s="22">
        <f t="shared" si="8"/>
        <v>0</v>
      </c>
      <c r="CD14" s="66">
        <f t="shared" si="9"/>
        <v>0</v>
      </c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22">
        <f t="shared" si="10"/>
        <v>1</v>
      </c>
      <c r="DC14" s="66">
        <f t="shared" si="11"/>
        <v>15000000</v>
      </c>
      <c r="DD14" s="66">
        <f t="shared" si="12"/>
        <v>0</v>
      </c>
      <c r="DE14" s="66">
        <f t="shared" si="12"/>
        <v>0</v>
      </c>
      <c r="DF14" s="66">
        <f t="shared" si="12"/>
        <v>0</v>
      </c>
      <c r="DG14" s="66">
        <f t="shared" si="12"/>
        <v>0</v>
      </c>
      <c r="DH14" s="66">
        <f t="shared" si="12"/>
        <v>0</v>
      </c>
      <c r="DI14" s="66">
        <f t="shared" si="12"/>
        <v>0</v>
      </c>
      <c r="DJ14" s="66">
        <f t="shared" si="12"/>
        <v>0</v>
      </c>
      <c r="DK14" s="66">
        <f t="shared" si="12"/>
        <v>0</v>
      </c>
      <c r="DL14" s="66">
        <f t="shared" si="12"/>
        <v>0</v>
      </c>
      <c r="DM14" s="66">
        <f t="shared" si="12"/>
        <v>0</v>
      </c>
      <c r="DN14" s="66">
        <f t="shared" si="12"/>
        <v>0</v>
      </c>
      <c r="DO14" s="66">
        <f t="shared" si="12"/>
        <v>0</v>
      </c>
      <c r="DP14" s="66">
        <f t="shared" si="12"/>
        <v>0</v>
      </c>
      <c r="DQ14" s="66">
        <f t="shared" si="12"/>
        <v>0</v>
      </c>
      <c r="DR14" s="66">
        <f t="shared" si="12"/>
        <v>0</v>
      </c>
      <c r="DS14" s="66">
        <f t="shared" si="12"/>
        <v>0</v>
      </c>
      <c r="DT14" s="66">
        <f t="shared" si="13"/>
        <v>15000000</v>
      </c>
      <c r="DU14" s="66">
        <f t="shared" si="13"/>
        <v>0</v>
      </c>
      <c r="DV14" s="66">
        <f t="shared" si="13"/>
        <v>0</v>
      </c>
      <c r="DW14" s="66">
        <f t="shared" si="13"/>
        <v>0</v>
      </c>
      <c r="DX14" s="66">
        <f t="shared" si="13"/>
        <v>0</v>
      </c>
      <c r="DY14" s="66"/>
      <c r="DZ14" s="66">
        <f t="shared" si="14"/>
        <v>0</v>
      </c>
    </row>
    <row r="15" spans="1:135" ht="18" hidden="1" customHeight="1" x14ac:dyDescent="0.3">
      <c r="A15" s="128"/>
      <c r="B15" s="249" t="s">
        <v>347</v>
      </c>
      <c r="C15" s="101" t="s">
        <v>346</v>
      </c>
      <c r="D15" s="71" t="s">
        <v>345</v>
      </c>
      <c r="E15" s="124">
        <v>310</v>
      </c>
      <c r="F15" s="67" t="s">
        <v>283</v>
      </c>
      <c r="G15" s="66">
        <f t="shared" si="0"/>
        <v>150000000</v>
      </c>
      <c r="H15" s="66"/>
      <c r="I15" s="66"/>
      <c r="J15" s="66"/>
      <c r="K15" s="66">
        <v>150000000</v>
      </c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22">
        <f t="shared" si="1"/>
        <v>0</v>
      </c>
      <c r="AF15" s="66">
        <f t="shared" si="2"/>
        <v>0</v>
      </c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22">
        <f t="shared" si="3"/>
        <v>1</v>
      </c>
      <c r="BE15" s="66">
        <f t="shared" si="4"/>
        <v>150000000</v>
      </c>
      <c r="BF15" s="66"/>
      <c r="BG15" s="66"/>
      <c r="BH15" s="66"/>
      <c r="BI15" s="66">
        <f t="shared" si="16"/>
        <v>150000000</v>
      </c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22">
        <f t="shared" si="8"/>
        <v>0</v>
      </c>
      <c r="CD15" s="66">
        <f t="shared" si="9"/>
        <v>0</v>
      </c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22">
        <f t="shared" si="10"/>
        <v>1</v>
      </c>
      <c r="DC15" s="66">
        <f t="shared" si="11"/>
        <v>150000000</v>
      </c>
      <c r="DD15" s="66"/>
      <c r="DE15" s="66"/>
      <c r="DF15" s="66"/>
      <c r="DG15" s="66">
        <f t="shared" si="12"/>
        <v>150000000</v>
      </c>
      <c r="DH15" s="66"/>
      <c r="DI15" s="66"/>
      <c r="DJ15" s="66"/>
      <c r="DK15" s="66"/>
      <c r="DL15" s="66"/>
      <c r="DM15" s="66"/>
      <c r="DN15" s="66"/>
      <c r="DO15" s="66"/>
      <c r="DP15" s="66"/>
      <c r="DQ15" s="66"/>
      <c r="DR15" s="66"/>
      <c r="DS15" s="66"/>
      <c r="DT15" s="66"/>
      <c r="DU15" s="66"/>
      <c r="DV15" s="66"/>
      <c r="DW15" s="66"/>
      <c r="DX15" s="66"/>
      <c r="DY15" s="66"/>
      <c r="DZ15" s="66"/>
    </row>
    <row r="16" spans="1:135" ht="43.2" hidden="1" customHeight="1" x14ac:dyDescent="0.3">
      <c r="A16" s="128"/>
      <c r="B16" s="250"/>
      <c r="C16" s="101" t="s">
        <v>344</v>
      </c>
      <c r="D16" s="69" t="s">
        <v>343</v>
      </c>
      <c r="E16" s="124">
        <v>310</v>
      </c>
      <c r="F16" s="67" t="s">
        <v>283</v>
      </c>
      <c r="G16" s="66">
        <f t="shared" si="0"/>
        <v>100000000</v>
      </c>
      <c r="H16" s="66"/>
      <c r="I16" s="66">
        <v>100000000</v>
      </c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22">
        <f t="shared" si="1"/>
        <v>1</v>
      </c>
      <c r="AF16" s="66">
        <f t="shared" si="2"/>
        <v>100000000</v>
      </c>
      <c r="AG16" s="66"/>
      <c r="AH16" s="66">
        <f>+'[5]MARZO 2019'!$K$156</f>
        <v>100000000</v>
      </c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22">
        <f t="shared" si="3"/>
        <v>0</v>
      </c>
      <c r="BE16" s="66">
        <f t="shared" si="4"/>
        <v>0</v>
      </c>
      <c r="BF16" s="66">
        <f>H16-AG16</f>
        <v>0</v>
      </c>
      <c r="BG16" s="66">
        <f>I16-AH16</f>
        <v>0</v>
      </c>
      <c r="BH16" s="66">
        <f>J16-AI16</f>
        <v>0</v>
      </c>
      <c r="BI16" s="66">
        <f t="shared" si="16"/>
        <v>0</v>
      </c>
      <c r="BJ16" s="66">
        <f t="shared" ref="BJ16:BZ16" si="18">L16-AK16</f>
        <v>0</v>
      </c>
      <c r="BK16" s="66">
        <f t="shared" si="18"/>
        <v>0</v>
      </c>
      <c r="BL16" s="66">
        <f t="shared" si="18"/>
        <v>0</v>
      </c>
      <c r="BM16" s="66">
        <f t="shared" si="18"/>
        <v>0</v>
      </c>
      <c r="BN16" s="66">
        <f t="shared" si="18"/>
        <v>0</v>
      </c>
      <c r="BO16" s="66">
        <f t="shared" si="18"/>
        <v>0</v>
      </c>
      <c r="BP16" s="66">
        <f t="shared" si="18"/>
        <v>0</v>
      </c>
      <c r="BQ16" s="66">
        <f t="shared" si="18"/>
        <v>0</v>
      </c>
      <c r="BR16" s="66">
        <f t="shared" si="18"/>
        <v>0</v>
      </c>
      <c r="BS16" s="66">
        <f t="shared" si="18"/>
        <v>0</v>
      </c>
      <c r="BT16" s="66">
        <f t="shared" si="18"/>
        <v>0</v>
      </c>
      <c r="BU16" s="66">
        <f t="shared" si="18"/>
        <v>0</v>
      </c>
      <c r="BV16" s="66">
        <f t="shared" si="18"/>
        <v>0</v>
      </c>
      <c r="BW16" s="66">
        <f t="shared" si="18"/>
        <v>0</v>
      </c>
      <c r="BX16" s="66">
        <f t="shared" si="18"/>
        <v>0</v>
      </c>
      <c r="BY16" s="66">
        <f t="shared" si="18"/>
        <v>0</v>
      </c>
      <c r="BZ16" s="66">
        <f t="shared" si="18"/>
        <v>0</v>
      </c>
      <c r="CA16" s="66"/>
      <c r="CB16" s="66">
        <f>AD16-BC16</f>
        <v>0</v>
      </c>
      <c r="CC16" s="22">
        <f t="shared" si="8"/>
        <v>0.58313333000000001</v>
      </c>
      <c r="CD16" s="66">
        <f t="shared" si="9"/>
        <v>58313333</v>
      </c>
      <c r="CE16" s="66"/>
      <c r="CF16" s="66">
        <f>+'[2]SEPTIEMBRE 2019'!$H$500+'[2]SEPTIEMBRE 2019'!$H$507+'[2]SEPTIEMBRE 2019'!$H$511+'[2]SEPTIEMBRE 2019'!$H$513+'[2]SEPTIEMBRE 2019'!$H$528+'[1]OCTUBRE 2019'!$H$589</f>
        <v>58313333</v>
      </c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22">
        <f t="shared" si="10"/>
        <v>0.41686666999999999</v>
      </c>
      <c r="DC16" s="66">
        <f t="shared" si="11"/>
        <v>41686667</v>
      </c>
      <c r="DD16" s="66">
        <f>H16-CE16</f>
        <v>0</v>
      </c>
      <c r="DE16" s="66">
        <f>I16-CF16</f>
        <v>41686667</v>
      </c>
      <c r="DF16" s="66">
        <f>J16-CG16</f>
        <v>0</v>
      </c>
      <c r="DG16" s="66">
        <f t="shared" si="12"/>
        <v>0</v>
      </c>
      <c r="DH16" s="66">
        <f t="shared" si="12"/>
        <v>0</v>
      </c>
      <c r="DI16" s="66">
        <f t="shared" si="12"/>
        <v>0</v>
      </c>
      <c r="DJ16" s="66">
        <f t="shared" si="12"/>
        <v>0</v>
      </c>
      <c r="DK16" s="66">
        <f t="shared" si="12"/>
        <v>0</v>
      </c>
      <c r="DL16" s="66">
        <f t="shared" si="12"/>
        <v>0</v>
      </c>
      <c r="DM16" s="66">
        <f t="shared" si="12"/>
        <v>0</v>
      </c>
      <c r="DN16" s="66">
        <f t="shared" si="12"/>
        <v>0</v>
      </c>
      <c r="DO16" s="66">
        <f t="shared" si="12"/>
        <v>0</v>
      </c>
      <c r="DP16" s="66">
        <f t="shared" si="12"/>
        <v>0</v>
      </c>
      <c r="DQ16" s="66">
        <f t="shared" si="12"/>
        <v>0</v>
      </c>
      <c r="DR16" s="66">
        <f t="shared" si="12"/>
        <v>0</v>
      </c>
      <c r="DS16" s="66">
        <f t="shared" si="12"/>
        <v>0</v>
      </c>
      <c r="DT16" s="66">
        <f t="shared" ref="DT16:DX16" si="19">X16-CU16</f>
        <v>0</v>
      </c>
      <c r="DU16" s="66">
        <f t="shared" si="19"/>
        <v>0</v>
      </c>
      <c r="DV16" s="66">
        <f t="shared" si="19"/>
        <v>0</v>
      </c>
      <c r="DW16" s="66">
        <f t="shared" si="19"/>
        <v>0</v>
      </c>
      <c r="DX16" s="66">
        <f t="shared" si="19"/>
        <v>0</v>
      </c>
      <c r="DY16" s="66"/>
      <c r="DZ16" s="66">
        <f>AD16-DA16</f>
        <v>0</v>
      </c>
    </row>
    <row r="17" spans="1:130" ht="17.399999999999999" hidden="1" customHeight="1" x14ac:dyDescent="0.3">
      <c r="A17" s="128"/>
      <c r="B17" s="250"/>
      <c r="C17" s="121" t="s">
        <v>342</v>
      </c>
      <c r="D17" s="69" t="s">
        <v>341</v>
      </c>
      <c r="E17" s="124">
        <v>310</v>
      </c>
      <c r="F17" s="67" t="s">
        <v>283</v>
      </c>
      <c r="G17" s="66">
        <f t="shared" si="0"/>
        <v>150000000</v>
      </c>
      <c r="H17" s="66"/>
      <c r="I17" s="66"/>
      <c r="J17" s="66"/>
      <c r="K17" s="66">
        <v>150000000</v>
      </c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22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22">
        <f t="shared" si="3"/>
        <v>1</v>
      </c>
      <c r="BE17" s="66">
        <f t="shared" si="4"/>
        <v>150000000</v>
      </c>
      <c r="BF17" s="66"/>
      <c r="BG17" s="66"/>
      <c r="BH17" s="66"/>
      <c r="BI17" s="66">
        <f t="shared" si="16"/>
        <v>150000000</v>
      </c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22">
        <f t="shared" si="8"/>
        <v>0</v>
      </c>
      <c r="CD17" s="66">
        <f t="shared" si="9"/>
        <v>0</v>
      </c>
      <c r="CE17" s="66"/>
      <c r="CF17" s="66"/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66"/>
      <c r="CR17" s="66"/>
      <c r="CS17" s="66"/>
      <c r="CT17" s="66"/>
      <c r="CU17" s="66"/>
      <c r="CV17" s="66"/>
      <c r="CW17" s="66"/>
      <c r="CX17" s="66"/>
      <c r="CY17" s="66"/>
      <c r="CZ17" s="66"/>
      <c r="DA17" s="66"/>
      <c r="DB17" s="22">
        <f t="shared" si="10"/>
        <v>1</v>
      </c>
      <c r="DC17" s="66">
        <f t="shared" si="11"/>
        <v>150000000</v>
      </c>
      <c r="DD17" s="66"/>
      <c r="DE17" s="66"/>
      <c r="DF17" s="66"/>
      <c r="DG17" s="66">
        <f t="shared" si="12"/>
        <v>150000000</v>
      </c>
      <c r="DH17" s="66"/>
      <c r="DI17" s="66"/>
      <c r="DJ17" s="66"/>
      <c r="DK17" s="66"/>
      <c r="DL17" s="66"/>
      <c r="DM17" s="66"/>
      <c r="DN17" s="66"/>
      <c r="DO17" s="66"/>
      <c r="DP17" s="66"/>
      <c r="DQ17" s="66"/>
      <c r="DR17" s="66"/>
      <c r="DS17" s="66"/>
      <c r="DT17" s="66"/>
      <c r="DU17" s="66"/>
      <c r="DV17" s="66"/>
      <c r="DW17" s="66"/>
      <c r="DX17" s="66"/>
      <c r="DY17" s="66"/>
      <c r="DZ17" s="66"/>
    </row>
    <row r="18" spans="1:130" ht="16.8" hidden="1" customHeight="1" x14ac:dyDescent="0.3">
      <c r="A18" s="128"/>
      <c r="B18" s="250"/>
      <c r="C18" s="121" t="s">
        <v>340</v>
      </c>
      <c r="D18" s="71" t="s">
        <v>339</v>
      </c>
      <c r="E18" s="124">
        <v>310</v>
      </c>
      <c r="F18" s="135" t="s">
        <v>338</v>
      </c>
      <c r="G18" s="66">
        <f t="shared" si="0"/>
        <v>419000000</v>
      </c>
      <c r="H18" s="66"/>
      <c r="I18" s="66">
        <v>290000000</v>
      </c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>
        <v>54000000</v>
      </c>
      <c r="Z18" s="66"/>
      <c r="AA18" s="66"/>
      <c r="AB18" s="66"/>
      <c r="AC18" s="66"/>
      <c r="AD18" s="66">
        <f>50000000+15000000+10000000+5000000-5000000</f>
        <v>75000000</v>
      </c>
      <c r="AE18" s="22">
        <f t="shared" ref="AE18:AE30" si="20">+AF18/G18</f>
        <v>0.80802630310262524</v>
      </c>
      <c r="AF18" s="66">
        <f t="shared" ref="AF18:AF39" si="21">SUM(AG18:BC18)</f>
        <v>338563021</v>
      </c>
      <c r="AG18" s="66"/>
      <c r="AH18" s="66">
        <f>+'[1]OCTUBRE 2019'!$K$610</f>
        <v>285345383</v>
      </c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>
        <f>+'[1]OCTUBRE 2019'!$AG$610</f>
        <v>53217638</v>
      </c>
      <c r="BD18" s="22">
        <f t="shared" si="3"/>
        <v>0.19197369689737476</v>
      </c>
      <c r="BE18" s="66">
        <f t="shared" si="4"/>
        <v>80436979</v>
      </c>
      <c r="BF18" s="66">
        <f t="shared" ref="BF18:BH39" si="22">H18-AG18</f>
        <v>0</v>
      </c>
      <c r="BG18" s="66">
        <f t="shared" si="22"/>
        <v>4654617</v>
      </c>
      <c r="BH18" s="66">
        <f t="shared" si="22"/>
        <v>0</v>
      </c>
      <c r="BI18" s="66">
        <f t="shared" si="16"/>
        <v>0</v>
      </c>
      <c r="BJ18" s="66">
        <f t="shared" ref="BJ18:BY33" si="23">L18-AK18</f>
        <v>0</v>
      </c>
      <c r="BK18" s="66">
        <f t="shared" si="23"/>
        <v>0</v>
      </c>
      <c r="BL18" s="66">
        <f t="shared" si="23"/>
        <v>0</v>
      </c>
      <c r="BM18" s="66">
        <f t="shared" si="23"/>
        <v>0</v>
      </c>
      <c r="BN18" s="66">
        <f t="shared" si="23"/>
        <v>0</v>
      </c>
      <c r="BO18" s="66">
        <f t="shared" si="23"/>
        <v>0</v>
      </c>
      <c r="BP18" s="66">
        <f t="shared" si="23"/>
        <v>0</v>
      </c>
      <c r="BQ18" s="66">
        <f t="shared" si="23"/>
        <v>0</v>
      </c>
      <c r="BR18" s="66">
        <f t="shared" si="23"/>
        <v>0</v>
      </c>
      <c r="BS18" s="66">
        <f t="shared" si="23"/>
        <v>0</v>
      </c>
      <c r="BT18" s="66">
        <f t="shared" si="23"/>
        <v>0</v>
      </c>
      <c r="BU18" s="66">
        <f t="shared" si="23"/>
        <v>0</v>
      </c>
      <c r="BV18" s="66">
        <f t="shared" si="23"/>
        <v>0</v>
      </c>
      <c r="BW18" s="66">
        <f t="shared" si="23"/>
        <v>54000000</v>
      </c>
      <c r="BX18" s="66">
        <f t="shared" si="23"/>
        <v>0</v>
      </c>
      <c r="BY18" s="66">
        <f t="shared" si="23"/>
        <v>0</v>
      </c>
      <c r="BZ18" s="66">
        <f t="shared" ref="BZ18:BZ39" si="24">AB18-BA18</f>
        <v>0</v>
      </c>
      <c r="CA18" s="66"/>
      <c r="CB18" s="66">
        <f t="shared" ref="CB18:CB39" si="25">AD18-BC18</f>
        <v>21782362</v>
      </c>
      <c r="CC18" s="22">
        <f t="shared" si="8"/>
        <v>0.70358347255369924</v>
      </c>
      <c r="CD18" s="66">
        <f t="shared" si="9"/>
        <v>294801475</v>
      </c>
      <c r="CE18" s="66"/>
      <c r="CF18" s="66">
        <f>+'[1]OCTUBRE 2019'!$H$608-DA18</f>
        <v>261583837</v>
      </c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66"/>
      <c r="CR18" s="66"/>
      <c r="CS18" s="66"/>
      <c r="CT18" s="66"/>
      <c r="CU18" s="66"/>
      <c r="CV18" s="66"/>
      <c r="CW18" s="66"/>
      <c r="CX18" s="66"/>
      <c r="CY18" s="66"/>
      <c r="CZ18" s="66"/>
      <c r="DA18" s="66">
        <f>+'[1]OCTUBRE 2019'!$H$612+'[1]OCTUBRE 2019'!$H$614+'[1]OCTUBRE 2019'!$H$621+'[1]OCTUBRE 2019'!$H$624+'[1]OCTUBRE 2019'!$H$856+'[1]OCTUBRE 2019'!$H$858+'[1]OCTUBRE 2019'!$H$859+'[1]OCTUBRE 2019'!$H$861+'[1]OCTUBRE 2019'!$H$862+'[1]OCTUBRE 2019'!$H$865+'[1]OCTUBRE 2019'!$H$868+'[1]OCTUBRE 2019'!$H$869+'[1]OCTUBRE 2019'!$H$870+'[1]OCTUBRE 2019'!$H$871+'[1]OCTUBRE 2019'!$H$872+'[1]OCTUBRE 2019'!$H$873</f>
        <v>33217638</v>
      </c>
      <c r="DB18" s="22">
        <f t="shared" si="10"/>
        <v>0.29641652744630076</v>
      </c>
      <c r="DC18" s="66">
        <f t="shared" si="11"/>
        <v>124198525</v>
      </c>
      <c r="DD18" s="66">
        <f t="shared" ref="DD18:DS36" si="26">H18-CE18</f>
        <v>0</v>
      </c>
      <c r="DE18" s="66">
        <f t="shared" si="26"/>
        <v>28416163</v>
      </c>
      <c r="DF18" s="66">
        <f t="shared" si="26"/>
        <v>0</v>
      </c>
      <c r="DG18" s="66">
        <f t="shared" si="12"/>
        <v>0</v>
      </c>
      <c r="DH18" s="66">
        <f t="shared" si="12"/>
        <v>0</v>
      </c>
      <c r="DI18" s="66">
        <f t="shared" si="12"/>
        <v>0</v>
      </c>
      <c r="DJ18" s="66">
        <f t="shared" si="12"/>
        <v>0</v>
      </c>
      <c r="DK18" s="66">
        <f t="shared" si="12"/>
        <v>0</v>
      </c>
      <c r="DL18" s="66">
        <f t="shared" si="12"/>
        <v>0</v>
      </c>
      <c r="DM18" s="66">
        <f t="shared" si="12"/>
        <v>0</v>
      </c>
      <c r="DN18" s="66">
        <f t="shared" si="12"/>
        <v>0</v>
      </c>
      <c r="DO18" s="66">
        <f t="shared" si="12"/>
        <v>0</v>
      </c>
      <c r="DP18" s="66">
        <f t="shared" si="12"/>
        <v>0</v>
      </c>
      <c r="DQ18" s="66">
        <f t="shared" si="12"/>
        <v>0</v>
      </c>
      <c r="DR18" s="66">
        <f t="shared" si="12"/>
        <v>0</v>
      </c>
      <c r="DS18" s="66">
        <f t="shared" si="12"/>
        <v>0</v>
      </c>
      <c r="DT18" s="66">
        <f t="shared" ref="DT18:DX39" si="27">X18-CU18</f>
        <v>0</v>
      </c>
      <c r="DU18" s="66">
        <f t="shared" si="27"/>
        <v>54000000</v>
      </c>
      <c r="DV18" s="66">
        <f t="shared" si="27"/>
        <v>0</v>
      </c>
      <c r="DW18" s="66">
        <f t="shared" si="27"/>
        <v>0</v>
      </c>
      <c r="DX18" s="66">
        <f t="shared" si="27"/>
        <v>0</v>
      </c>
      <c r="DY18" s="66"/>
      <c r="DZ18" s="66">
        <f t="shared" ref="DZ18:DZ39" si="28">AD18-DA18</f>
        <v>41782362</v>
      </c>
    </row>
    <row r="19" spans="1:130" ht="18.600000000000001" hidden="1" customHeight="1" x14ac:dyDescent="0.3">
      <c r="A19" s="128"/>
      <c r="B19" s="250"/>
      <c r="C19" s="121" t="s">
        <v>337</v>
      </c>
      <c r="D19" s="71" t="s">
        <v>336</v>
      </c>
      <c r="E19" s="124">
        <v>310</v>
      </c>
      <c r="F19" s="67" t="s">
        <v>283</v>
      </c>
      <c r="G19" s="66">
        <f t="shared" si="0"/>
        <v>45000000</v>
      </c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>
        <v>45000000</v>
      </c>
      <c r="Y19" s="66"/>
      <c r="Z19" s="66"/>
      <c r="AA19" s="66"/>
      <c r="AB19" s="66"/>
      <c r="AC19" s="66"/>
      <c r="AD19" s="66"/>
      <c r="AE19" s="22">
        <f t="shared" si="20"/>
        <v>0.93711111111111112</v>
      </c>
      <c r="AF19" s="66">
        <f t="shared" si="21"/>
        <v>42170000</v>
      </c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>
        <f>+'[6]MAYO 2019'!$Y$322</f>
        <v>42170000</v>
      </c>
      <c r="AX19" s="66"/>
      <c r="AY19" s="66"/>
      <c r="AZ19" s="66"/>
      <c r="BA19" s="66"/>
      <c r="BB19" s="66"/>
      <c r="BC19" s="66"/>
      <c r="BD19" s="22">
        <f t="shared" si="3"/>
        <v>6.2888888888888883E-2</v>
      </c>
      <c r="BE19" s="66">
        <f t="shared" si="4"/>
        <v>2830000</v>
      </c>
      <c r="BF19" s="66">
        <f t="shared" si="22"/>
        <v>0</v>
      </c>
      <c r="BG19" s="66">
        <f t="shared" si="22"/>
        <v>0</v>
      </c>
      <c r="BH19" s="66">
        <f t="shared" si="22"/>
        <v>0</v>
      </c>
      <c r="BI19" s="66">
        <f t="shared" si="16"/>
        <v>0</v>
      </c>
      <c r="BJ19" s="66">
        <f t="shared" si="23"/>
        <v>0</v>
      </c>
      <c r="BK19" s="66">
        <f t="shared" si="23"/>
        <v>0</v>
      </c>
      <c r="BL19" s="66">
        <f t="shared" si="23"/>
        <v>0</v>
      </c>
      <c r="BM19" s="66">
        <f t="shared" si="23"/>
        <v>0</v>
      </c>
      <c r="BN19" s="66">
        <f t="shared" si="23"/>
        <v>0</v>
      </c>
      <c r="BO19" s="66">
        <f t="shared" si="23"/>
        <v>0</v>
      </c>
      <c r="BP19" s="66">
        <f t="shared" si="23"/>
        <v>0</v>
      </c>
      <c r="BQ19" s="66">
        <f t="shared" si="23"/>
        <v>0</v>
      </c>
      <c r="BR19" s="66">
        <f t="shared" si="23"/>
        <v>0</v>
      </c>
      <c r="BS19" s="66">
        <f t="shared" si="23"/>
        <v>0</v>
      </c>
      <c r="BT19" s="66">
        <f t="shared" si="23"/>
        <v>0</v>
      </c>
      <c r="BU19" s="66">
        <f t="shared" si="23"/>
        <v>0</v>
      </c>
      <c r="BV19" s="66">
        <f t="shared" si="23"/>
        <v>2830000</v>
      </c>
      <c r="BW19" s="66">
        <f t="shared" si="23"/>
        <v>0</v>
      </c>
      <c r="BX19" s="66">
        <f t="shared" si="23"/>
        <v>0</v>
      </c>
      <c r="BY19" s="66">
        <f t="shared" si="23"/>
        <v>0</v>
      </c>
      <c r="BZ19" s="66">
        <f t="shared" si="24"/>
        <v>0</v>
      </c>
      <c r="CA19" s="66"/>
      <c r="CB19" s="66">
        <f t="shared" si="25"/>
        <v>0</v>
      </c>
      <c r="CC19" s="22">
        <f t="shared" si="8"/>
        <v>0.90322222222222226</v>
      </c>
      <c r="CD19" s="66">
        <f t="shared" si="9"/>
        <v>40645000</v>
      </c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66"/>
      <c r="CR19" s="66"/>
      <c r="CS19" s="66"/>
      <c r="CT19" s="66"/>
      <c r="CU19" s="66">
        <f>+'[7]AGOSTO 2019'!$H$581</f>
        <v>40645000</v>
      </c>
      <c r="CV19" s="66"/>
      <c r="CW19" s="66"/>
      <c r="CX19" s="66"/>
      <c r="CY19" s="66"/>
      <c r="CZ19" s="66"/>
      <c r="DA19" s="66"/>
      <c r="DB19" s="22">
        <f t="shared" si="10"/>
        <v>9.677777777777774E-2</v>
      </c>
      <c r="DC19" s="66">
        <f t="shared" si="11"/>
        <v>4355000</v>
      </c>
      <c r="DD19" s="66">
        <f t="shared" si="26"/>
        <v>0</v>
      </c>
      <c r="DE19" s="66">
        <f t="shared" si="26"/>
        <v>0</v>
      </c>
      <c r="DF19" s="66">
        <f t="shared" si="26"/>
        <v>0</v>
      </c>
      <c r="DG19" s="66">
        <f t="shared" si="12"/>
        <v>0</v>
      </c>
      <c r="DH19" s="66">
        <f t="shared" si="12"/>
        <v>0</v>
      </c>
      <c r="DI19" s="66">
        <f t="shared" si="12"/>
        <v>0</v>
      </c>
      <c r="DJ19" s="66">
        <f t="shared" si="12"/>
        <v>0</v>
      </c>
      <c r="DK19" s="66">
        <f t="shared" si="12"/>
        <v>0</v>
      </c>
      <c r="DL19" s="66">
        <f t="shared" si="12"/>
        <v>0</v>
      </c>
      <c r="DM19" s="66">
        <f t="shared" si="12"/>
        <v>0</v>
      </c>
      <c r="DN19" s="66">
        <f t="shared" si="12"/>
        <v>0</v>
      </c>
      <c r="DO19" s="66">
        <f t="shared" si="12"/>
        <v>0</v>
      </c>
      <c r="DP19" s="66">
        <f t="shared" si="12"/>
        <v>0</v>
      </c>
      <c r="DQ19" s="66">
        <f t="shared" si="12"/>
        <v>0</v>
      </c>
      <c r="DR19" s="66">
        <f t="shared" si="12"/>
        <v>0</v>
      </c>
      <c r="DS19" s="66">
        <f t="shared" si="12"/>
        <v>0</v>
      </c>
      <c r="DT19" s="66">
        <f t="shared" si="27"/>
        <v>4355000</v>
      </c>
      <c r="DU19" s="66">
        <f t="shared" si="27"/>
        <v>0</v>
      </c>
      <c r="DV19" s="66">
        <f t="shared" si="27"/>
        <v>0</v>
      </c>
      <c r="DW19" s="66">
        <f t="shared" si="27"/>
        <v>0</v>
      </c>
      <c r="DX19" s="66">
        <f t="shared" si="27"/>
        <v>0</v>
      </c>
      <c r="DY19" s="66"/>
      <c r="DZ19" s="66">
        <f t="shared" si="28"/>
        <v>0</v>
      </c>
    </row>
    <row r="20" spans="1:130" ht="20.399999999999999" hidden="1" customHeight="1" x14ac:dyDescent="0.3">
      <c r="A20" s="128"/>
      <c r="B20" s="250"/>
      <c r="C20" s="121" t="s">
        <v>335</v>
      </c>
      <c r="D20" s="71" t="s">
        <v>334</v>
      </c>
      <c r="E20" s="124">
        <v>310</v>
      </c>
      <c r="F20" s="67" t="s">
        <v>283</v>
      </c>
      <c r="G20" s="66">
        <f t="shared" si="0"/>
        <v>4000000</v>
      </c>
      <c r="H20" s="35"/>
      <c r="I20" s="66"/>
      <c r="J20" s="66"/>
      <c r="K20" s="66"/>
      <c r="L20" s="66"/>
      <c r="M20" s="35"/>
      <c r="N20" s="66"/>
      <c r="O20" s="66"/>
      <c r="P20" s="35"/>
      <c r="Q20" s="35"/>
      <c r="R20" s="35"/>
      <c r="S20" s="35"/>
      <c r="T20" s="35"/>
      <c r="U20" s="35"/>
      <c r="V20" s="35"/>
      <c r="W20" s="35"/>
      <c r="X20" s="66">
        <v>4000000</v>
      </c>
      <c r="Y20" s="66"/>
      <c r="Z20" s="35"/>
      <c r="AA20" s="35"/>
      <c r="AB20" s="35"/>
      <c r="AC20" s="35"/>
      <c r="AD20" s="66"/>
      <c r="AE20" s="22">
        <f t="shared" si="20"/>
        <v>0</v>
      </c>
      <c r="AF20" s="66">
        <f t="shared" si="21"/>
        <v>0</v>
      </c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22">
        <f t="shared" si="3"/>
        <v>1</v>
      </c>
      <c r="BE20" s="66">
        <f t="shared" si="4"/>
        <v>4000000</v>
      </c>
      <c r="BF20" s="66">
        <f t="shared" si="22"/>
        <v>0</v>
      </c>
      <c r="BG20" s="66">
        <f t="shared" si="22"/>
        <v>0</v>
      </c>
      <c r="BH20" s="66">
        <f t="shared" si="22"/>
        <v>0</v>
      </c>
      <c r="BI20" s="66">
        <f t="shared" si="16"/>
        <v>0</v>
      </c>
      <c r="BJ20" s="66">
        <f t="shared" si="23"/>
        <v>0</v>
      </c>
      <c r="BK20" s="66">
        <f t="shared" si="23"/>
        <v>0</v>
      </c>
      <c r="BL20" s="66">
        <f t="shared" si="23"/>
        <v>0</v>
      </c>
      <c r="BM20" s="66">
        <f t="shared" si="23"/>
        <v>0</v>
      </c>
      <c r="BN20" s="66">
        <f t="shared" si="23"/>
        <v>0</v>
      </c>
      <c r="BO20" s="66">
        <f t="shared" si="23"/>
        <v>0</v>
      </c>
      <c r="BP20" s="66">
        <f t="shared" si="23"/>
        <v>0</v>
      </c>
      <c r="BQ20" s="66">
        <f t="shared" si="23"/>
        <v>0</v>
      </c>
      <c r="BR20" s="66">
        <f t="shared" si="23"/>
        <v>0</v>
      </c>
      <c r="BS20" s="66">
        <f t="shared" si="23"/>
        <v>0</v>
      </c>
      <c r="BT20" s="66">
        <f t="shared" si="23"/>
        <v>0</v>
      </c>
      <c r="BU20" s="66">
        <f t="shared" si="23"/>
        <v>0</v>
      </c>
      <c r="BV20" s="66">
        <f t="shared" si="23"/>
        <v>4000000</v>
      </c>
      <c r="BW20" s="66">
        <f t="shared" si="23"/>
        <v>0</v>
      </c>
      <c r="BX20" s="66">
        <f t="shared" si="23"/>
        <v>0</v>
      </c>
      <c r="BY20" s="66">
        <f t="shared" si="23"/>
        <v>0</v>
      </c>
      <c r="BZ20" s="66">
        <f t="shared" si="24"/>
        <v>0</v>
      </c>
      <c r="CA20" s="66"/>
      <c r="CB20" s="66">
        <f t="shared" si="25"/>
        <v>0</v>
      </c>
      <c r="CC20" s="22">
        <f t="shared" si="8"/>
        <v>0</v>
      </c>
      <c r="CD20" s="66">
        <f t="shared" si="9"/>
        <v>0</v>
      </c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/>
      <c r="CV20" s="66"/>
      <c r="CW20" s="66"/>
      <c r="CX20" s="66"/>
      <c r="CY20" s="66"/>
      <c r="CZ20" s="66"/>
      <c r="DA20" s="66"/>
      <c r="DB20" s="22">
        <f t="shared" si="10"/>
        <v>1</v>
      </c>
      <c r="DC20" s="66">
        <f t="shared" si="11"/>
        <v>4000000</v>
      </c>
      <c r="DD20" s="66">
        <f t="shared" si="26"/>
        <v>0</v>
      </c>
      <c r="DE20" s="66">
        <f t="shared" si="26"/>
        <v>0</v>
      </c>
      <c r="DF20" s="66">
        <f t="shared" si="26"/>
        <v>0</v>
      </c>
      <c r="DG20" s="66">
        <f t="shared" si="12"/>
        <v>0</v>
      </c>
      <c r="DH20" s="66">
        <f t="shared" si="12"/>
        <v>0</v>
      </c>
      <c r="DI20" s="66">
        <f t="shared" si="12"/>
        <v>0</v>
      </c>
      <c r="DJ20" s="66">
        <f t="shared" si="12"/>
        <v>0</v>
      </c>
      <c r="DK20" s="66">
        <f t="shared" si="12"/>
        <v>0</v>
      </c>
      <c r="DL20" s="66">
        <f t="shared" si="12"/>
        <v>0</v>
      </c>
      <c r="DM20" s="66">
        <f t="shared" si="12"/>
        <v>0</v>
      </c>
      <c r="DN20" s="66">
        <f t="shared" si="12"/>
        <v>0</v>
      </c>
      <c r="DO20" s="66">
        <f t="shared" si="12"/>
        <v>0</v>
      </c>
      <c r="DP20" s="66">
        <f t="shared" si="12"/>
        <v>0</v>
      </c>
      <c r="DQ20" s="66">
        <f t="shared" si="12"/>
        <v>0</v>
      </c>
      <c r="DR20" s="66">
        <f t="shared" si="12"/>
        <v>0</v>
      </c>
      <c r="DS20" s="66">
        <f t="shared" si="12"/>
        <v>0</v>
      </c>
      <c r="DT20" s="66">
        <f t="shared" si="27"/>
        <v>4000000</v>
      </c>
      <c r="DU20" s="66">
        <f t="shared" si="27"/>
        <v>0</v>
      </c>
      <c r="DV20" s="66">
        <f t="shared" si="27"/>
        <v>0</v>
      </c>
      <c r="DW20" s="66">
        <f t="shared" si="27"/>
        <v>0</v>
      </c>
      <c r="DX20" s="66">
        <f t="shared" si="27"/>
        <v>0</v>
      </c>
      <c r="DY20" s="66"/>
      <c r="DZ20" s="66">
        <f t="shared" si="28"/>
        <v>0</v>
      </c>
    </row>
    <row r="21" spans="1:130" ht="28.8" hidden="1" customHeight="1" x14ac:dyDescent="0.3">
      <c r="A21" s="128"/>
      <c r="B21" s="251"/>
      <c r="C21" s="121" t="s">
        <v>333</v>
      </c>
      <c r="D21" s="69" t="s">
        <v>332</v>
      </c>
      <c r="E21" s="124">
        <v>310</v>
      </c>
      <c r="F21" s="127" t="s">
        <v>331</v>
      </c>
      <c r="G21" s="66">
        <f t="shared" si="0"/>
        <v>42000000</v>
      </c>
      <c r="H21" s="35"/>
      <c r="I21" s="66"/>
      <c r="J21" s="66"/>
      <c r="K21" s="66"/>
      <c r="L21" s="66"/>
      <c r="M21" s="35"/>
      <c r="N21" s="66"/>
      <c r="O21" s="66"/>
      <c r="P21" s="35"/>
      <c r="Q21" s="35"/>
      <c r="R21" s="35"/>
      <c r="S21" s="35"/>
      <c r="T21" s="35"/>
      <c r="U21" s="35"/>
      <c r="V21" s="35"/>
      <c r="W21" s="35"/>
      <c r="X21" s="66">
        <v>27000000</v>
      </c>
      <c r="Y21" s="66"/>
      <c r="Z21" s="35"/>
      <c r="AA21" s="35"/>
      <c r="AB21" s="35"/>
      <c r="AC21" s="35"/>
      <c r="AD21" s="66">
        <v>15000000</v>
      </c>
      <c r="AE21" s="22">
        <f t="shared" si="20"/>
        <v>0.8571428571428571</v>
      </c>
      <c r="AF21" s="66">
        <f t="shared" si="21"/>
        <v>36000000</v>
      </c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>
        <f>+'[8]FEBRERO 2019'!$Y$159</f>
        <v>27000000</v>
      </c>
      <c r="AX21" s="66"/>
      <c r="AY21" s="66"/>
      <c r="AZ21" s="66"/>
      <c r="BA21" s="66"/>
      <c r="BB21" s="66"/>
      <c r="BC21" s="66">
        <f>+'[9]ENERO 2019'!$AF$154</f>
        <v>9000000</v>
      </c>
      <c r="BD21" s="22">
        <f t="shared" si="3"/>
        <v>0.1428571428571429</v>
      </c>
      <c r="BE21" s="66">
        <f t="shared" si="4"/>
        <v>6000000</v>
      </c>
      <c r="BF21" s="66">
        <f t="shared" si="22"/>
        <v>0</v>
      </c>
      <c r="BG21" s="66">
        <f t="shared" si="22"/>
        <v>0</v>
      </c>
      <c r="BH21" s="66">
        <f t="shared" si="22"/>
        <v>0</v>
      </c>
      <c r="BI21" s="66">
        <f t="shared" si="16"/>
        <v>0</v>
      </c>
      <c r="BJ21" s="66">
        <f t="shared" si="23"/>
        <v>0</v>
      </c>
      <c r="BK21" s="66">
        <f t="shared" si="23"/>
        <v>0</v>
      </c>
      <c r="BL21" s="66">
        <f t="shared" si="23"/>
        <v>0</v>
      </c>
      <c r="BM21" s="66">
        <f t="shared" si="23"/>
        <v>0</v>
      </c>
      <c r="BN21" s="66">
        <f t="shared" si="23"/>
        <v>0</v>
      </c>
      <c r="BO21" s="66">
        <f t="shared" si="23"/>
        <v>0</v>
      </c>
      <c r="BP21" s="66">
        <f t="shared" si="23"/>
        <v>0</v>
      </c>
      <c r="BQ21" s="66">
        <f t="shared" si="23"/>
        <v>0</v>
      </c>
      <c r="BR21" s="66">
        <f t="shared" si="23"/>
        <v>0</v>
      </c>
      <c r="BS21" s="66">
        <f t="shared" si="23"/>
        <v>0</v>
      </c>
      <c r="BT21" s="66">
        <f t="shared" si="23"/>
        <v>0</v>
      </c>
      <c r="BU21" s="66">
        <f t="shared" si="23"/>
        <v>0</v>
      </c>
      <c r="BV21" s="66">
        <f t="shared" si="23"/>
        <v>0</v>
      </c>
      <c r="BW21" s="66">
        <f t="shared" si="23"/>
        <v>0</v>
      </c>
      <c r="BX21" s="66">
        <f t="shared" si="23"/>
        <v>0</v>
      </c>
      <c r="BY21" s="66">
        <f t="shared" si="23"/>
        <v>0</v>
      </c>
      <c r="BZ21" s="66">
        <f t="shared" si="24"/>
        <v>0</v>
      </c>
      <c r="CA21" s="66"/>
      <c r="CB21" s="66">
        <f t="shared" si="25"/>
        <v>6000000</v>
      </c>
      <c r="CC21" s="22">
        <f t="shared" si="8"/>
        <v>0.27792259523809526</v>
      </c>
      <c r="CD21" s="66">
        <f t="shared" si="9"/>
        <v>11672749</v>
      </c>
      <c r="CE21" s="66"/>
      <c r="CF21" s="66"/>
      <c r="CG21" s="66"/>
      <c r="CH21" s="66"/>
      <c r="CI21" s="66"/>
      <c r="CJ21" s="66"/>
      <c r="CK21" s="66"/>
      <c r="CL21" s="66"/>
      <c r="CM21" s="66"/>
      <c r="CN21" s="66"/>
      <c r="CO21" s="66"/>
      <c r="CP21" s="66"/>
      <c r="CQ21" s="66"/>
      <c r="CR21" s="66"/>
      <c r="CS21" s="66"/>
      <c r="CT21" s="66"/>
      <c r="CU21" s="66">
        <f>+'[1]OCTUBRE 2019'!$H$934</f>
        <v>11672749</v>
      </c>
      <c r="CV21" s="66"/>
      <c r="CW21" s="66"/>
      <c r="CX21" s="66"/>
      <c r="CY21" s="66"/>
      <c r="CZ21" s="66"/>
      <c r="DA21" s="66"/>
      <c r="DB21" s="22">
        <f t="shared" si="10"/>
        <v>0.72207740476190474</v>
      </c>
      <c r="DC21" s="66">
        <f t="shared" si="11"/>
        <v>30327251</v>
      </c>
      <c r="DD21" s="66">
        <f t="shared" si="26"/>
        <v>0</v>
      </c>
      <c r="DE21" s="66">
        <f t="shared" si="26"/>
        <v>0</v>
      </c>
      <c r="DF21" s="66">
        <f t="shared" si="26"/>
        <v>0</v>
      </c>
      <c r="DG21" s="66">
        <f t="shared" si="26"/>
        <v>0</v>
      </c>
      <c r="DH21" s="66">
        <f t="shared" si="26"/>
        <v>0</v>
      </c>
      <c r="DI21" s="66">
        <f t="shared" si="26"/>
        <v>0</v>
      </c>
      <c r="DJ21" s="66">
        <f t="shared" si="26"/>
        <v>0</v>
      </c>
      <c r="DK21" s="66">
        <f t="shared" si="26"/>
        <v>0</v>
      </c>
      <c r="DL21" s="66">
        <f t="shared" si="26"/>
        <v>0</v>
      </c>
      <c r="DM21" s="66">
        <f t="shared" si="26"/>
        <v>0</v>
      </c>
      <c r="DN21" s="66">
        <f t="shared" si="26"/>
        <v>0</v>
      </c>
      <c r="DO21" s="66">
        <f t="shared" si="26"/>
        <v>0</v>
      </c>
      <c r="DP21" s="66">
        <f t="shared" si="26"/>
        <v>0</v>
      </c>
      <c r="DQ21" s="66">
        <f t="shared" si="26"/>
        <v>0</v>
      </c>
      <c r="DR21" s="66">
        <f t="shared" si="26"/>
        <v>0</v>
      </c>
      <c r="DS21" s="66">
        <f t="shared" si="26"/>
        <v>0</v>
      </c>
      <c r="DT21" s="66">
        <f t="shared" si="27"/>
        <v>15327251</v>
      </c>
      <c r="DU21" s="66">
        <f t="shared" si="27"/>
        <v>0</v>
      </c>
      <c r="DV21" s="66">
        <f t="shared" si="27"/>
        <v>0</v>
      </c>
      <c r="DW21" s="66">
        <f t="shared" si="27"/>
        <v>0</v>
      </c>
      <c r="DX21" s="66">
        <f t="shared" si="27"/>
        <v>0</v>
      </c>
      <c r="DY21" s="66"/>
      <c r="DZ21" s="66">
        <f t="shared" si="28"/>
        <v>15000000</v>
      </c>
    </row>
    <row r="22" spans="1:130" ht="28.8" hidden="1" customHeight="1" x14ac:dyDescent="0.3">
      <c r="A22" s="128"/>
      <c r="B22" s="238" t="s">
        <v>330</v>
      </c>
      <c r="C22" s="101" t="s">
        <v>329</v>
      </c>
      <c r="D22" s="71" t="s">
        <v>328</v>
      </c>
      <c r="E22" s="124">
        <v>510</v>
      </c>
      <c r="F22" s="67" t="s">
        <v>283</v>
      </c>
      <c r="G22" s="66">
        <f t="shared" si="0"/>
        <v>100644090</v>
      </c>
      <c r="H22" s="66"/>
      <c r="I22" s="66">
        <v>80000000</v>
      </c>
      <c r="J22" s="66">
        <v>20644090</v>
      </c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22">
        <f t="shared" si="20"/>
        <v>0.94596086069236651</v>
      </c>
      <c r="AF22" s="66">
        <f t="shared" si="21"/>
        <v>95205370</v>
      </c>
      <c r="AG22" s="66"/>
      <c r="AH22" s="66">
        <f>+'[7]AGOSTO 2019'!$K$2629</f>
        <v>80000000</v>
      </c>
      <c r="AI22" s="66">
        <f>+'[3]JULIO 2019'!$M$2318</f>
        <v>15205370</v>
      </c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22">
        <f t="shared" si="3"/>
        <v>5.4039139307633488E-2</v>
      </c>
      <c r="BE22" s="66">
        <f t="shared" si="4"/>
        <v>5438720</v>
      </c>
      <c r="BF22" s="66">
        <f t="shared" si="22"/>
        <v>0</v>
      </c>
      <c r="BG22" s="66">
        <f t="shared" si="22"/>
        <v>0</v>
      </c>
      <c r="BH22" s="66">
        <f t="shared" si="22"/>
        <v>5438720</v>
      </c>
      <c r="BI22" s="66">
        <f t="shared" si="16"/>
        <v>0</v>
      </c>
      <c r="BJ22" s="66">
        <f t="shared" si="23"/>
        <v>0</v>
      </c>
      <c r="BK22" s="66">
        <f t="shared" si="23"/>
        <v>0</v>
      </c>
      <c r="BL22" s="66">
        <f t="shared" si="23"/>
        <v>0</v>
      </c>
      <c r="BM22" s="66">
        <f t="shared" si="23"/>
        <v>0</v>
      </c>
      <c r="BN22" s="66">
        <f t="shared" si="23"/>
        <v>0</v>
      </c>
      <c r="BO22" s="66">
        <f t="shared" si="23"/>
        <v>0</v>
      </c>
      <c r="BP22" s="66">
        <f t="shared" si="23"/>
        <v>0</v>
      </c>
      <c r="BQ22" s="66">
        <f t="shared" si="23"/>
        <v>0</v>
      </c>
      <c r="BR22" s="66">
        <f t="shared" si="23"/>
        <v>0</v>
      </c>
      <c r="BS22" s="66">
        <f t="shared" si="23"/>
        <v>0</v>
      </c>
      <c r="BT22" s="66">
        <f t="shared" si="23"/>
        <v>0</v>
      </c>
      <c r="BU22" s="66">
        <f t="shared" si="23"/>
        <v>0</v>
      </c>
      <c r="BV22" s="66">
        <f t="shared" si="23"/>
        <v>0</v>
      </c>
      <c r="BW22" s="66">
        <f t="shared" si="23"/>
        <v>0</v>
      </c>
      <c r="BX22" s="66">
        <f t="shared" si="23"/>
        <v>0</v>
      </c>
      <c r="BY22" s="66">
        <f t="shared" si="23"/>
        <v>0</v>
      </c>
      <c r="BZ22" s="66">
        <f t="shared" si="24"/>
        <v>0</v>
      </c>
      <c r="CA22" s="66"/>
      <c r="CB22" s="66">
        <f t="shared" si="25"/>
        <v>0</v>
      </c>
      <c r="CC22" s="22">
        <f t="shared" si="8"/>
        <v>0.81434856234479347</v>
      </c>
      <c r="CD22" s="66">
        <f t="shared" si="9"/>
        <v>81959370</v>
      </c>
      <c r="CE22" s="66"/>
      <c r="CF22" s="66">
        <f>+'[7]AGOSTO 2019'!$H$2630+'[7]AGOSTO 2019'!$H$2638+'[7]AGOSTO 2019'!$H$2641+'[7]AGOSTO 2019'!$H$2643+'[7]AGOSTO 2019'!$H$2649</f>
        <v>79000000</v>
      </c>
      <c r="CG22" s="66">
        <f>+'[7]AGOSTO 2019'!$H$2673</f>
        <v>2959370</v>
      </c>
      <c r="CH22" s="66"/>
      <c r="CI22" s="66"/>
      <c r="CJ22" s="66"/>
      <c r="CK22" s="66"/>
      <c r="CL22" s="66"/>
      <c r="CM22" s="66"/>
      <c r="CN22" s="66"/>
      <c r="CO22" s="66"/>
      <c r="CP22" s="66"/>
      <c r="CQ22" s="66"/>
      <c r="CR22" s="66"/>
      <c r="CS22" s="66"/>
      <c r="CT22" s="66"/>
      <c r="CU22" s="66"/>
      <c r="CV22" s="66"/>
      <c r="CW22" s="66"/>
      <c r="CX22" s="66"/>
      <c r="CY22" s="66"/>
      <c r="CZ22" s="66"/>
      <c r="DA22" s="66"/>
      <c r="DB22" s="22">
        <f t="shared" si="10"/>
        <v>0.18565143765520653</v>
      </c>
      <c r="DC22" s="66">
        <f t="shared" si="11"/>
        <v>18684720</v>
      </c>
      <c r="DD22" s="66">
        <f t="shared" si="26"/>
        <v>0</v>
      </c>
      <c r="DE22" s="66">
        <f t="shared" si="26"/>
        <v>1000000</v>
      </c>
      <c r="DF22" s="66">
        <f t="shared" si="26"/>
        <v>17684720</v>
      </c>
      <c r="DG22" s="66">
        <f t="shared" si="26"/>
        <v>0</v>
      </c>
      <c r="DH22" s="66">
        <f t="shared" si="26"/>
        <v>0</v>
      </c>
      <c r="DI22" s="66">
        <f t="shared" si="26"/>
        <v>0</v>
      </c>
      <c r="DJ22" s="66">
        <f t="shared" si="26"/>
        <v>0</v>
      </c>
      <c r="DK22" s="66">
        <f t="shared" si="26"/>
        <v>0</v>
      </c>
      <c r="DL22" s="66">
        <f t="shared" si="26"/>
        <v>0</v>
      </c>
      <c r="DM22" s="66">
        <f t="shared" si="26"/>
        <v>0</v>
      </c>
      <c r="DN22" s="66">
        <f t="shared" si="26"/>
        <v>0</v>
      </c>
      <c r="DO22" s="66">
        <f t="shared" si="26"/>
        <v>0</v>
      </c>
      <c r="DP22" s="66">
        <f t="shared" si="26"/>
        <v>0</v>
      </c>
      <c r="DQ22" s="66">
        <f t="shared" si="26"/>
        <v>0</v>
      </c>
      <c r="DR22" s="66">
        <f t="shared" si="26"/>
        <v>0</v>
      </c>
      <c r="DS22" s="66">
        <f t="shared" si="26"/>
        <v>0</v>
      </c>
      <c r="DT22" s="66">
        <f t="shared" si="27"/>
        <v>0</v>
      </c>
      <c r="DU22" s="66">
        <f t="shared" si="27"/>
        <v>0</v>
      </c>
      <c r="DV22" s="66">
        <f t="shared" si="27"/>
        <v>0</v>
      </c>
      <c r="DW22" s="66">
        <f t="shared" si="27"/>
        <v>0</v>
      </c>
      <c r="DX22" s="66">
        <f t="shared" si="27"/>
        <v>0</v>
      </c>
      <c r="DY22" s="66"/>
      <c r="DZ22" s="66">
        <f t="shared" si="28"/>
        <v>0</v>
      </c>
    </row>
    <row r="23" spans="1:130" ht="29.4" hidden="1" customHeight="1" x14ac:dyDescent="0.3">
      <c r="A23" s="128"/>
      <c r="B23" s="239"/>
      <c r="C23" s="121" t="s">
        <v>327</v>
      </c>
      <c r="D23" s="71" t="s">
        <v>326</v>
      </c>
      <c r="E23" s="124">
        <v>510</v>
      </c>
      <c r="F23" s="67" t="s">
        <v>283</v>
      </c>
      <c r="G23" s="66">
        <f t="shared" si="0"/>
        <v>100000000</v>
      </c>
      <c r="H23" s="66"/>
      <c r="I23" s="66">
        <v>80000000</v>
      </c>
      <c r="J23" s="66">
        <v>20000000</v>
      </c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22">
        <f t="shared" si="20"/>
        <v>1</v>
      </c>
      <c r="AF23" s="66">
        <f t="shared" si="21"/>
        <v>100000000</v>
      </c>
      <c r="AG23" s="66"/>
      <c r="AH23" s="66">
        <f>+'[8]FEBRERO 2019'!$K$965</f>
        <v>80000000</v>
      </c>
      <c r="AI23" s="66">
        <f>+'[1]OCTUBRE 2019'!$N$3530</f>
        <v>20000000</v>
      </c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22">
        <f t="shared" si="3"/>
        <v>0</v>
      </c>
      <c r="BE23" s="66">
        <f t="shared" si="4"/>
        <v>0</v>
      </c>
      <c r="BF23" s="66">
        <f t="shared" si="22"/>
        <v>0</v>
      </c>
      <c r="BG23" s="66">
        <f t="shared" si="22"/>
        <v>0</v>
      </c>
      <c r="BH23" s="66">
        <f t="shared" si="22"/>
        <v>0</v>
      </c>
      <c r="BI23" s="66">
        <f t="shared" si="16"/>
        <v>0</v>
      </c>
      <c r="BJ23" s="66">
        <f t="shared" si="23"/>
        <v>0</v>
      </c>
      <c r="BK23" s="66">
        <f t="shared" si="23"/>
        <v>0</v>
      </c>
      <c r="BL23" s="66">
        <f t="shared" si="23"/>
        <v>0</v>
      </c>
      <c r="BM23" s="66">
        <f t="shared" si="23"/>
        <v>0</v>
      </c>
      <c r="BN23" s="66">
        <f t="shared" si="23"/>
        <v>0</v>
      </c>
      <c r="BO23" s="66">
        <f t="shared" si="23"/>
        <v>0</v>
      </c>
      <c r="BP23" s="66">
        <f t="shared" si="23"/>
        <v>0</v>
      </c>
      <c r="BQ23" s="66">
        <f t="shared" si="23"/>
        <v>0</v>
      </c>
      <c r="BR23" s="66">
        <f t="shared" si="23"/>
        <v>0</v>
      </c>
      <c r="BS23" s="66">
        <f t="shared" si="23"/>
        <v>0</v>
      </c>
      <c r="BT23" s="66">
        <f t="shared" si="23"/>
        <v>0</v>
      </c>
      <c r="BU23" s="66">
        <f t="shared" si="23"/>
        <v>0</v>
      </c>
      <c r="BV23" s="66">
        <f t="shared" si="23"/>
        <v>0</v>
      </c>
      <c r="BW23" s="66">
        <f t="shared" si="23"/>
        <v>0</v>
      </c>
      <c r="BX23" s="66">
        <f t="shared" si="23"/>
        <v>0</v>
      </c>
      <c r="BY23" s="66">
        <f t="shared" si="23"/>
        <v>0</v>
      </c>
      <c r="BZ23" s="66">
        <f t="shared" si="24"/>
        <v>0</v>
      </c>
      <c r="CA23" s="66"/>
      <c r="CB23" s="66">
        <f t="shared" si="25"/>
        <v>0</v>
      </c>
      <c r="CC23" s="22">
        <f t="shared" si="8"/>
        <v>0.83450000000000002</v>
      </c>
      <c r="CD23" s="66">
        <f t="shared" si="9"/>
        <v>83450000</v>
      </c>
      <c r="CE23" s="66"/>
      <c r="CF23" s="66">
        <f>+'[2]SEPTIEMBRE 2019'!$H$3141+'[2]SEPTIEMBRE 2019'!$H$3148+'[2]SEPTIEMBRE 2019'!$H$3165+'[2]SEPTIEMBRE 2019'!$H$3168+'[2]SEPTIEMBRE 2019'!$H$3171</f>
        <v>74000000</v>
      </c>
      <c r="CG23" s="66">
        <f>+'[1]OCTUBRE 2019'!$H$3565</f>
        <v>9450000</v>
      </c>
      <c r="CH23" s="66"/>
      <c r="CI23" s="66"/>
      <c r="CJ23" s="66"/>
      <c r="CK23" s="66"/>
      <c r="CL23" s="66"/>
      <c r="CM23" s="66"/>
      <c r="CN23" s="66"/>
      <c r="CO23" s="66"/>
      <c r="CP23" s="66"/>
      <c r="CQ23" s="66"/>
      <c r="CR23" s="66"/>
      <c r="CS23" s="66"/>
      <c r="CT23" s="66"/>
      <c r="CU23" s="66"/>
      <c r="CV23" s="66"/>
      <c r="CW23" s="66"/>
      <c r="CX23" s="66"/>
      <c r="CY23" s="66"/>
      <c r="CZ23" s="66"/>
      <c r="DA23" s="66"/>
      <c r="DB23" s="22">
        <f t="shared" si="10"/>
        <v>0.16549999999999998</v>
      </c>
      <c r="DC23" s="66">
        <f t="shared" si="11"/>
        <v>16550000</v>
      </c>
      <c r="DD23" s="66">
        <f t="shared" si="26"/>
        <v>0</v>
      </c>
      <c r="DE23" s="66">
        <f t="shared" si="26"/>
        <v>6000000</v>
      </c>
      <c r="DF23" s="66">
        <f t="shared" si="26"/>
        <v>10550000</v>
      </c>
      <c r="DG23" s="66">
        <f t="shared" si="26"/>
        <v>0</v>
      </c>
      <c r="DH23" s="66">
        <f t="shared" si="26"/>
        <v>0</v>
      </c>
      <c r="DI23" s="66">
        <f t="shared" si="26"/>
        <v>0</v>
      </c>
      <c r="DJ23" s="66">
        <f t="shared" si="26"/>
        <v>0</v>
      </c>
      <c r="DK23" s="66">
        <f t="shared" si="26"/>
        <v>0</v>
      </c>
      <c r="DL23" s="66">
        <f t="shared" si="26"/>
        <v>0</v>
      </c>
      <c r="DM23" s="66">
        <f t="shared" si="26"/>
        <v>0</v>
      </c>
      <c r="DN23" s="66">
        <f t="shared" si="26"/>
        <v>0</v>
      </c>
      <c r="DO23" s="66">
        <f t="shared" si="26"/>
        <v>0</v>
      </c>
      <c r="DP23" s="66">
        <f t="shared" si="26"/>
        <v>0</v>
      </c>
      <c r="DQ23" s="66">
        <f t="shared" si="26"/>
        <v>0</v>
      </c>
      <c r="DR23" s="66">
        <f t="shared" si="26"/>
        <v>0</v>
      </c>
      <c r="DS23" s="66">
        <f t="shared" si="26"/>
        <v>0</v>
      </c>
      <c r="DT23" s="66">
        <f t="shared" si="27"/>
        <v>0</v>
      </c>
      <c r="DU23" s="66">
        <f t="shared" si="27"/>
        <v>0</v>
      </c>
      <c r="DV23" s="66">
        <f t="shared" si="27"/>
        <v>0</v>
      </c>
      <c r="DW23" s="66">
        <f t="shared" si="27"/>
        <v>0</v>
      </c>
      <c r="DX23" s="66">
        <f t="shared" si="27"/>
        <v>0</v>
      </c>
      <c r="DY23" s="66"/>
      <c r="DZ23" s="66">
        <f t="shared" si="28"/>
        <v>0</v>
      </c>
    </row>
    <row r="24" spans="1:130" ht="42" hidden="1" customHeight="1" x14ac:dyDescent="0.3">
      <c r="A24" s="128"/>
      <c r="B24" s="239"/>
      <c r="C24" s="121" t="s">
        <v>325</v>
      </c>
      <c r="D24" s="71" t="s">
        <v>324</v>
      </c>
      <c r="E24" s="124">
        <v>510</v>
      </c>
      <c r="F24" s="67" t="s">
        <v>283</v>
      </c>
      <c r="G24" s="66">
        <f t="shared" si="0"/>
        <v>100000000</v>
      </c>
      <c r="H24" s="66"/>
      <c r="I24" s="66">
        <v>80000000</v>
      </c>
      <c r="J24" s="66">
        <v>20000000</v>
      </c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22">
        <f t="shared" si="20"/>
        <v>1</v>
      </c>
      <c r="AF24" s="66">
        <f t="shared" si="21"/>
        <v>100000000</v>
      </c>
      <c r="AG24" s="66"/>
      <c r="AH24" s="66">
        <f>+'[5]MARZO 2019'!$K$1158</f>
        <v>80000000</v>
      </c>
      <c r="AI24" s="66">
        <f>+'[3]JULIO 2019'!$M$2379</f>
        <v>20000000</v>
      </c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6"/>
      <c r="BD24" s="22">
        <f t="shared" si="3"/>
        <v>0</v>
      </c>
      <c r="BE24" s="66">
        <f t="shared" si="4"/>
        <v>0</v>
      </c>
      <c r="BF24" s="66">
        <f t="shared" si="22"/>
        <v>0</v>
      </c>
      <c r="BG24" s="66">
        <f t="shared" si="22"/>
        <v>0</v>
      </c>
      <c r="BH24" s="66">
        <f t="shared" si="22"/>
        <v>0</v>
      </c>
      <c r="BI24" s="66">
        <f t="shared" si="16"/>
        <v>0</v>
      </c>
      <c r="BJ24" s="66">
        <f t="shared" si="23"/>
        <v>0</v>
      </c>
      <c r="BK24" s="66">
        <f t="shared" si="23"/>
        <v>0</v>
      </c>
      <c r="BL24" s="66">
        <f t="shared" si="23"/>
        <v>0</v>
      </c>
      <c r="BM24" s="66">
        <f t="shared" si="23"/>
        <v>0</v>
      </c>
      <c r="BN24" s="66">
        <f t="shared" si="23"/>
        <v>0</v>
      </c>
      <c r="BO24" s="66">
        <f t="shared" si="23"/>
        <v>0</v>
      </c>
      <c r="BP24" s="66">
        <f t="shared" si="23"/>
        <v>0</v>
      </c>
      <c r="BQ24" s="66">
        <f t="shared" si="23"/>
        <v>0</v>
      </c>
      <c r="BR24" s="66">
        <f t="shared" si="23"/>
        <v>0</v>
      </c>
      <c r="BS24" s="66">
        <f t="shared" si="23"/>
        <v>0</v>
      </c>
      <c r="BT24" s="66">
        <f t="shared" si="23"/>
        <v>0</v>
      </c>
      <c r="BU24" s="66">
        <f t="shared" si="23"/>
        <v>0</v>
      </c>
      <c r="BV24" s="66">
        <f t="shared" si="23"/>
        <v>0</v>
      </c>
      <c r="BW24" s="66">
        <f t="shared" si="23"/>
        <v>0</v>
      </c>
      <c r="BX24" s="66">
        <f t="shared" si="23"/>
        <v>0</v>
      </c>
      <c r="BY24" s="66">
        <f t="shared" si="23"/>
        <v>0</v>
      </c>
      <c r="BZ24" s="66">
        <f t="shared" si="24"/>
        <v>0</v>
      </c>
      <c r="CA24" s="66"/>
      <c r="CB24" s="66">
        <f t="shared" si="25"/>
        <v>0</v>
      </c>
      <c r="CC24" s="22">
        <f t="shared" si="8"/>
        <v>0.89114998999999995</v>
      </c>
      <c r="CD24" s="66">
        <f t="shared" si="9"/>
        <v>89114999</v>
      </c>
      <c r="CE24" s="66"/>
      <c r="CF24" s="66">
        <f>+'[3]JULIO 2019'!$H$2380+'[3]JULIO 2019'!$H$2389+'[3]JULIO 2019'!$H$2391-1</f>
        <v>73114999</v>
      </c>
      <c r="CG24" s="66">
        <f>+'[3]JULIO 2019'!$H$2395</f>
        <v>16000000</v>
      </c>
      <c r="CH24" s="66"/>
      <c r="CI24" s="66"/>
      <c r="CJ24" s="66"/>
      <c r="CK24" s="66"/>
      <c r="CL24" s="66"/>
      <c r="CM24" s="66"/>
      <c r="CN24" s="66"/>
      <c r="CO24" s="66"/>
      <c r="CP24" s="66"/>
      <c r="CQ24" s="66"/>
      <c r="CR24" s="66"/>
      <c r="CS24" s="66"/>
      <c r="CT24" s="66"/>
      <c r="CU24" s="66"/>
      <c r="CV24" s="66"/>
      <c r="CW24" s="66"/>
      <c r="CX24" s="66"/>
      <c r="CY24" s="66"/>
      <c r="CZ24" s="66"/>
      <c r="DA24" s="66"/>
      <c r="DB24" s="22">
        <f t="shared" si="10"/>
        <v>0.10885001000000005</v>
      </c>
      <c r="DC24" s="66">
        <f t="shared" si="11"/>
        <v>10885001</v>
      </c>
      <c r="DD24" s="66">
        <f t="shared" si="26"/>
        <v>0</v>
      </c>
      <c r="DE24" s="66">
        <f t="shared" si="26"/>
        <v>6885001</v>
      </c>
      <c r="DF24" s="66">
        <f t="shared" si="26"/>
        <v>4000000</v>
      </c>
      <c r="DG24" s="66">
        <f t="shared" si="26"/>
        <v>0</v>
      </c>
      <c r="DH24" s="66">
        <f t="shared" si="26"/>
        <v>0</v>
      </c>
      <c r="DI24" s="66">
        <f t="shared" si="26"/>
        <v>0</v>
      </c>
      <c r="DJ24" s="66">
        <f t="shared" si="26"/>
        <v>0</v>
      </c>
      <c r="DK24" s="66">
        <f t="shared" si="26"/>
        <v>0</v>
      </c>
      <c r="DL24" s="66">
        <f t="shared" si="26"/>
        <v>0</v>
      </c>
      <c r="DM24" s="66">
        <f t="shared" si="26"/>
        <v>0</v>
      </c>
      <c r="DN24" s="66">
        <f t="shared" si="26"/>
        <v>0</v>
      </c>
      <c r="DO24" s="66">
        <f t="shared" si="26"/>
        <v>0</v>
      </c>
      <c r="DP24" s="66">
        <f t="shared" si="26"/>
        <v>0</v>
      </c>
      <c r="DQ24" s="66">
        <f t="shared" si="26"/>
        <v>0</v>
      </c>
      <c r="DR24" s="66">
        <f t="shared" si="26"/>
        <v>0</v>
      </c>
      <c r="DS24" s="66">
        <f t="shared" si="26"/>
        <v>0</v>
      </c>
      <c r="DT24" s="66">
        <f t="shared" si="27"/>
        <v>0</v>
      </c>
      <c r="DU24" s="66">
        <f t="shared" si="27"/>
        <v>0</v>
      </c>
      <c r="DV24" s="66">
        <f t="shared" si="27"/>
        <v>0</v>
      </c>
      <c r="DW24" s="66">
        <f t="shared" si="27"/>
        <v>0</v>
      </c>
      <c r="DX24" s="66">
        <f t="shared" si="27"/>
        <v>0</v>
      </c>
      <c r="DY24" s="66"/>
      <c r="DZ24" s="66">
        <f t="shared" si="28"/>
        <v>0</v>
      </c>
    </row>
    <row r="25" spans="1:130" ht="30" hidden="1" customHeight="1" x14ac:dyDescent="0.3">
      <c r="A25" s="128"/>
      <c r="B25" s="239"/>
      <c r="C25" s="121" t="s">
        <v>323</v>
      </c>
      <c r="D25" s="71" t="s">
        <v>322</v>
      </c>
      <c r="E25" s="124">
        <v>510</v>
      </c>
      <c r="F25" s="67" t="s">
        <v>283</v>
      </c>
      <c r="G25" s="66">
        <f t="shared" si="0"/>
        <v>20800000</v>
      </c>
      <c r="H25" s="66"/>
      <c r="I25" s="66">
        <v>20800000</v>
      </c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22">
        <f t="shared" si="20"/>
        <v>0.61538461538461542</v>
      </c>
      <c r="AF25" s="66">
        <f t="shared" si="21"/>
        <v>12800000</v>
      </c>
      <c r="AG25" s="66"/>
      <c r="AH25" s="66">
        <f>+'[5]MARZO 2019'!$K$1172</f>
        <v>12800000</v>
      </c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22">
        <f t="shared" si="3"/>
        <v>0.38461538461538458</v>
      </c>
      <c r="BE25" s="66">
        <f t="shared" si="4"/>
        <v>8000000</v>
      </c>
      <c r="BF25" s="66">
        <f t="shared" si="22"/>
        <v>0</v>
      </c>
      <c r="BG25" s="66">
        <f t="shared" si="22"/>
        <v>8000000</v>
      </c>
      <c r="BH25" s="66">
        <f t="shared" si="22"/>
        <v>0</v>
      </c>
      <c r="BI25" s="66">
        <f t="shared" si="16"/>
        <v>0</v>
      </c>
      <c r="BJ25" s="66">
        <f t="shared" si="23"/>
        <v>0</v>
      </c>
      <c r="BK25" s="66">
        <f t="shared" si="23"/>
        <v>0</v>
      </c>
      <c r="BL25" s="66">
        <f t="shared" si="23"/>
        <v>0</v>
      </c>
      <c r="BM25" s="66">
        <f t="shared" si="23"/>
        <v>0</v>
      </c>
      <c r="BN25" s="66">
        <f t="shared" si="23"/>
        <v>0</v>
      </c>
      <c r="BO25" s="66">
        <f t="shared" si="23"/>
        <v>0</v>
      </c>
      <c r="BP25" s="66">
        <f t="shared" si="23"/>
        <v>0</v>
      </c>
      <c r="BQ25" s="66">
        <f t="shared" si="23"/>
        <v>0</v>
      </c>
      <c r="BR25" s="66">
        <f t="shared" si="23"/>
        <v>0</v>
      </c>
      <c r="BS25" s="66">
        <f t="shared" si="23"/>
        <v>0</v>
      </c>
      <c r="BT25" s="66">
        <f t="shared" si="23"/>
        <v>0</v>
      </c>
      <c r="BU25" s="66">
        <f t="shared" si="23"/>
        <v>0</v>
      </c>
      <c r="BV25" s="66">
        <f t="shared" si="23"/>
        <v>0</v>
      </c>
      <c r="BW25" s="66">
        <f t="shared" si="23"/>
        <v>0</v>
      </c>
      <c r="BX25" s="66">
        <f t="shared" si="23"/>
        <v>0</v>
      </c>
      <c r="BY25" s="66">
        <f t="shared" si="23"/>
        <v>0</v>
      </c>
      <c r="BZ25" s="66">
        <f t="shared" si="24"/>
        <v>0</v>
      </c>
      <c r="CA25" s="66"/>
      <c r="CB25" s="66">
        <f t="shared" si="25"/>
        <v>0</v>
      </c>
      <c r="CC25" s="22">
        <f t="shared" si="8"/>
        <v>0.54326923076923073</v>
      </c>
      <c r="CD25" s="66">
        <f t="shared" si="9"/>
        <v>11300000</v>
      </c>
      <c r="CE25" s="66"/>
      <c r="CF25" s="66">
        <f>+'[1]OCTUBRE 2019'!$H$3596</f>
        <v>11300000</v>
      </c>
      <c r="CG25" s="66"/>
      <c r="CH25" s="66"/>
      <c r="CI25" s="66"/>
      <c r="CJ25" s="66"/>
      <c r="CK25" s="66"/>
      <c r="CL25" s="66"/>
      <c r="CM25" s="66"/>
      <c r="CN25" s="66"/>
      <c r="CO25" s="66"/>
      <c r="CP25" s="66"/>
      <c r="CQ25" s="66"/>
      <c r="CR25" s="66"/>
      <c r="CS25" s="66"/>
      <c r="CT25" s="66"/>
      <c r="CU25" s="66"/>
      <c r="CV25" s="66"/>
      <c r="CW25" s="66"/>
      <c r="CX25" s="66"/>
      <c r="CY25" s="66"/>
      <c r="CZ25" s="66"/>
      <c r="DA25" s="66"/>
      <c r="DB25" s="22">
        <f t="shared" si="10"/>
        <v>0.45673076923076927</v>
      </c>
      <c r="DC25" s="66">
        <f t="shared" si="11"/>
        <v>9500000</v>
      </c>
      <c r="DD25" s="66">
        <f t="shared" si="26"/>
        <v>0</v>
      </c>
      <c r="DE25" s="66">
        <f t="shared" si="26"/>
        <v>9500000</v>
      </c>
      <c r="DF25" s="66">
        <f t="shared" si="26"/>
        <v>0</v>
      </c>
      <c r="DG25" s="66">
        <f t="shared" si="26"/>
        <v>0</v>
      </c>
      <c r="DH25" s="66">
        <f t="shared" si="26"/>
        <v>0</v>
      </c>
      <c r="DI25" s="66">
        <f t="shared" si="26"/>
        <v>0</v>
      </c>
      <c r="DJ25" s="66">
        <f t="shared" si="26"/>
        <v>0</v>
      </c>
      <c r="DK25" s="66">
        <f t="shared" si="26"/>
        <v>0</v>
      </c>
      <c r="DL25" s="66">
        <f t="shared" si="26"/>
        <v>0</v>
      </c>
      <c r="DM25" s="66">
        <f t="shared" si="26"/>
        <v>0</v>
      </c>
      <c r="DN25" s="66">
        <f t="shared" si="26"/>
        <v>0</v>
      </c>
      <c r="DO25" s="66">
        <f t="shared" si="26"/>
        <v>0</v>
      </c>
      <c r="DP25" s="66">
        <f t="shared" si="26"/>
        <v>0</v>
      </c>
      <c r="DQ25" s="66">
        <f t="shared" si="26"/>
        <v>0</v>
      </c>
      <c r="DR25" s="66">
        <f t="shared" si="26"/>
        <v>0</v>
      </c>
      <c r="DS25" s="66">
        <f t="shared" si="26"/>
        <v>0</v>
      </c>
      <c r="DT25" s="66">
        <f t="shared" si="27"/>
        <v>0</v>
      </c>
      <c r="DU25" s="66">
        <f t="shared" si="27"/>
        <v>0</v>
      </c>
      <c r="DV25" s="66">
        <f t="shared" si="27"/>
        <v>0</v>
      </c>
      <c r="DW25" s="66">
        <f t="shared" si="27"/>
        <v>0</v>
      </c>
      <c r="DX25" s="66">
        <f t="shared" si="27"/>
        <v>0</v>
      </c>
      <c r="DY25" s="66"/>
      <c r="DZ25" s="66">
        <f t="shared" si="28"/>
        <v>0</v>
      </c>
    </row>
    <row r="26" spans="1:130" ht="30.6" hidden="1" customHeight="1" x14ac:dyDescent="0.3">
      <c r="A26" s="128"/>
      <c r="B26" s="240"/>
      <c r="C26" s="121" t="s">
        <v>321</v>
      </c>
      <c r="D26" s="71" t="s">
        <v>320</v>
      </c>
      <c r="E26" s="124">
        <v>510</v>
      </c>
      <c r="F26" s="67" t="s">
        <v>283</v>
      </c>
      <c r="G26" s="66">
        <f t="shared" si="0"/>
        <v>82655791</v>
      </c>
      <c r="H26" s="66">
        <v>23655791</v>
      </c>
      <c r="I26" s="66">
        <v>39000000</v>
      </c>
      <c r="J26" s="66">
        <v>20000000</v>
      </c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  <c r="AE26" s="22">
        <f t="shared" si="20"/>
        <v>0.6654101223228267</v>
      </c>
      <c r="AF26" s="66">
        <f t="shared" si="21"/>
        <v>55000000</v>
      </c>
      <c r="AG26" s="66"/>
      <c r="AH26" s="66">
        <f>+'[5]MARZO 2019'!$K$1183</f>
        <v>39000000</v>
      </c>
      <c r="AI26" s="66">
        <f>+'[3]JULIO 2019'!$M$2421</f>
        <v>16000000</v>
      </c>
      <c r="AJ26" s="66"/>
      <c r="AK26" s="66"/>
      <c r="AL26" s="66"/>
      <c r="AM26" s="66"/>
      <c r="AN26" s="66"/>
      <c r="AO26" s="66"/>
      <c r="AP26" s="66"/>
      <c r="AQ26" s="66"/>
      <c r="AR26" s="66"/>
      <c r="AS26" s="66"/>
      <c r="AT26" s="66"/>
      <c r="AU26" s="66"/>
      <c r="AV26" s="66"/>
      <c r="AW26" s="66"/>
      <c r="AX26" s="66"/>
      <c r="AY26" s="66"/>
      <c r="AZ26" s="66"/>
      <c r="BA26" s="66"/>
      <c r="BB26" s="66"/>
      <c r="BC26" s="66"/>
      <c r="BD26" s="22">
        <f t="shared" si="3"/>
        <v>0.3345898776771733</v>
      </c>
      <c r="BE26" s="66">
        <f t="shared" si="4"/>
        <v>27655791</v>
      </c>
      <c r="BF26" s="66">
        <f t="shared" si="22"/>
        <v>23655791</v>
      </c>
      <c r="BG26" s="66">
        <f t="shared" si="22"/>
        <v>0</v>
      </c>
      <c r="BH26" s="66">
        <f t="shared" si="22"/>
        <v>4000000</v>
      </c>
      <c r="BI26" s="66">
        <f t="shared" si="16"/>
        <v>0</v>
      </c>
      <c r="BJ26" s="66">
        <f t="shared" si="23"/>
        <v>0</v>
      </c>
      <c r="BK26" s="66">
        <f t="shared" si="23"/>
        <v>0</v>
      </c>
      <c r="BL26" s="66">
        <f t="shared" si="23"/>
        <v>0</v>
      </c>
      <c r="BM26" s="66">
        <f t="shared" si="23"/>
        <v>0</v>
      </c>
      <c r="BN26" s="66">
        <f t="shared" si="23"/>
        <v>0</v>
      </c>
      <c r="BO26" s="66">
        <f t="shared" si="23"/>
        <v>0</v>
      </c>
      <c r="BP26" s="66">
        <f t="shared" si="23"/>
        <v>0</v>
      </c>
      <c r="BQ26" s="66">
        <f t="shared" si="23"/>
        <v>0</v>
      </c>
      <c r="BR26" s="66">
        <f t="shared" si="23"/>
        <v>0</v>
      </c>
      <c r="BS26" s="66">
        <f t="shared" si="23"/>
        <v>0</v>
      </c>
      <c r="BT26" s="66">
        <f t="shared" si="23"/>
        <v>0</v>
      </c>
      <c r="BU26" s="66">
        <f t="shared" si="23"/>
        <v>0</v>
      </c>
      <c r="BV26" s="66">
        <f t="shared" si="23"/>
        <v>0</v>
      </c>
      <c r="BW26" s="66">
        <f t="shared" si="23"/>
        <v>0</v>
      </c>
      <c r="BX26" s="66">
        <f t="shared" si="23"/>
        <v>0</v>
      </c>
      <c r="BY26" s="66">
        <f t="shared" si="23"/>
        <v>0</v>
      </c>
      <c r="BZ26" s="66">
        <f t="shared" si="24"/>
        <v>0</v>
      </c>
      <c r="CA26" s="66"/>
      <c r="CB26" s="66">
        <f t="shared" si="25"/>
        <v>0</v>
      </c>
      <c r="CC26" s="22">
        <f t="shared" si="8"/>
        <v>0.3301502855377671</v>
      </c>
      <c r="CD26" s="66">
        <f t="shared" si="9"/>
        <v>27288833</v>
      </c>
      <c r="CE26" s="66"/>
      <c r="CF26" s="66">
        <f>+'[1]OCTUBRE 2019'!$H$3615-CG26</f>
        <v>22368856</v>
      </c>
      <c r="CG26" s="66">
        <f>+'[1]OCTUBRE 2019'!$H$3633+'[1]OCTUBRE 2019'!$H$3642</f>
        <v>4919977</v>
      </c>
      <c r="CH26" s="66"/>
      <c r="CI26" s="66"/>
      <c r="CJ26" s="66"/>
      <c r="CK26" s="66"/>
      <c r="CL26" s="66"/>
      <c r="CM26" s="66"/>
      <c r="CN26" s="66"/>
      <c r="CO26" s="66"/>
      <c r="CP26" s="66"/>
      <c r="CQ26" s="66"/>
      <c r="CR26" s="66"/>
      <c r="CS26" s="66"/>
      <c r="CT26" s="66"/>
      <c r="CU26" s="66"/>
      <c r="CV26" s="66"/>
      <c r="CW26" s="66"/>
      <c r="CX26" s="66"/>
      <c r="CY26" s="66"/>
      <c r="CZ26" s="66"/>
      <c r="DA26" s="66"/>
      <c r="DB26" s="22">
        <f t="shared" si="10"/>
        <v>0.66984971446223285</v>
      </c>
      <c r="DC26" s="66">
        <f t="shared" si="11"/>
        <v>55366958</v>
      </c>
      <c r="DD26" s="66">
        <f t="shared" si="26"/>
        <v>23655791</v>
      </c>
      <c r="DE26" s="66">
        <f t="shared" si="26"/>
        <v>16631144</v>
      </c>
      <c r="DF26" s="66">
        <f t="shared" si="26"/>
        <v>15080023</v>
      </c>
      <c r="DG26" s="66">
        <f t="shared" si="26"/>
        <v>0</v>
      </c>
      <c r="DH26" s="66">
        <f t="shared" si="26"/>
        <v>0</v>
      </c>
      <c r="DI26" s="66">
        <f t="shared" si="26"/>
        <v>0</v>
      </c>
      <c r="DJ26" s="66">
        <f t="shared" si="26"/>
        <v>0</v>
      </c>
      <c r="DK26" s="66">
        <f t="shared" si="26"/>
        <v>0</v>
      </c>
      <c r="DL26" s="66">
        <f t="shared" si="26"/>
        <v>0</v>
      </c>
      <c r="DM26" s="66">
        <f t="shared" si="26"/>
        <v>0</v>
      </c>
      <c r="DN26" s="66">
        <f t="shared" si="26"/>
        <v>0</v>
      </c>
      <c r="DO26" s="66">
        <f t="shared" si="26"/>
        <v>0</v>
      </c>
      <c r="DP26" s="66">
        <f t="shared" si="26"/>
        <v>0</v>
      </c>
      <c r="DQ26" s="66">
        <f t="shared" si="26"/>
        <v>0</v>
      </c>
      <c r="DR26" s="66">
        <f t="shared" si="26"/>
        <v>0</v>
      </c>
      <c r="DS26" s="66">
        <f t="shared" si="26"/>
        <v>0</v>
      </c>
      <c r="DT26" s="66">
        <f t="shared" si="27"/>
        <v>0</v>
      </c>
      <c r="DU26" s="66">
        <f t="shared" si="27"/>
        <v>0</v>
      </c>
      <c r="DV26" s="66">
        <f t="shared" si="27"/>
        <v>0</v>
      </c>
      <c r="DW26" s="66">
        <f t="shared" si="27"/>
        <v>0</v>
      </c>
      <c r="DX26" s="66">
        <f t="shared" si="27"/>
        <v>0</v>
      </c>
      <c r="DY26" s="66"/>
      <c r="DZ26" s="66">
        <f t="shared" si="28"/>
        <v>0</v>
      </c>
    </row>
    <row r="27" spans="1:130" ht="45.6" hidden="1" customHeight="1" x14ac:dyDescent="0.3">
      <c r="A27" s="128"/>
      <c r="B27" s="238" t="s">
        <v>319</v>
      </c>
      <c r="C27" s="101" t="s">
        <v>318</v>
      </c>
      <c r="D27" s="69" t="s">
        <v>317</v>
      </c>
      <c r="E27" s="124">
        <v>510</v>
      </c>
      <c r="F27" s="67" t="s">
        <v>316</v>
      </c>
      <c r="G27" s="66">
        <f t="shared" si="0"/>
        <v>312819998</v>
      </c>
      <c r="H27" s="66"/>
      <c r="I27" s="66">
        <f>190000000-18086668</f>
        <v>171913332</v>
      </c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>
        <f>90000000+18000000+20000000+27906666-15000000</f>
        <v>140906666</v>
      </c>
      <c r="AE27" s="22">
        <f t="shared" si="20"/>
        <v>0.94987696406800692</v>
      </c>
      <c r="AF27" s="66">
        <f t="shared" si="21"/>
        <v>297140510</v>
      </c>
      <c r="AG27" s="66"/>
      <c r="AH27" s="66">
        <f>+'[1]OCTUBRE 2019'!$K$3677</f>
        <v>171913332</v>
      </c>
      <c r="AI27" s="66"/>
      <c r="AJ27" s="66"/>
      <c r="AK27" s="66"/>
      <c r="AL27" s="66"/>
      <c r="AM27" s="66"/>
      <c r="AN27" s="66"/>
      <c r="AO27" s="66"/>
      <c r="AP27" s="66"/>
      <c r="AQ27" s="66"/>
      <c r="AR27" s="66"/>
      <c r="AS27" s="66"/>
      <c r="AT27" s="66"/>
      <c r="AU27" s="66"/>
      <c r="AV27" s="66"/>
      <c r="AW27" s="66"/>
      <c r="AX27" s="66"/>
      <c r="AY27" s="66"/>
      <c r="AZ27" s="66"/>
      <c r="BA27" s="66"/>
      <c r="BB27" s="66"/>
      <c r="BC27" s="66">
        <f>+'[1]OCTUBRE 2019'!$AG$3677</f>
        <v>125227178</v>
      </c>
      <c r="BD27" s="22">
        <f t="shared" si="3"/>
        <v>5.0123035931993076E-2</v>
      </c>
      <c r="BE27" s="66">
        <f t="shared" si="4"/>
        <v>15679488</v>
      </c>
      <c r="BF27" s="66">
        <f t="shared" si="22"/>
        <v>0</v>
      </c>
      <c r="BG27" s="66">
        <f t="shared" si="22"/>
        <v>0</v>
      </c>
      <c r="BH27" s="66">
        <f t="shared" si="22"/>
        <v>0</v>
      </c>
      <c r="BI27" s="66">
        <f t="shared" si="16"/>
        <v>0</v>
      </c>
      <c r="BJ27" s="66">
        <f t="shared" si="23"/>
        <v>0</v>
      </c>
      <c r="BK27" s="66">
        <f t="shared" si="23"/>
        <v>0</v>
      </c>
      <c r="BL27" s="66">
        <f t="shared" si="23"/>
        <v>0</v>
      </c>
      <c r="BM27" s="66">
        <f t="shared" si="23"/>
        <v>0</v>
      </c>
      <c r="BN27" s="66">
        <f t="shared" si="23"/>
        <v>0</v>
      </c>
      <c r="BO27" s="66">
        <f t="shared" si="23"/>
        <v>0</v>
      </c>
      <c r="BP27" s="66">
        <f t="shared" si="23"/>
        <v>0</v>
      </c>
      <c r="BQ27" s="66">
        <f t="shared" si="23"/>
        <v>0</v>
      </c>
      <c r="BR27" s="66">
        <f t="shared" si="23"/>
        <v>0</v>
      </c>
      <c r="BS27" s="66">
        <f t="shared" si="23"/>
        <v>0</v>
      </c>
      <c r="BT27" s="66">
        <f t="shared" si="23"/>
        <v>0</v>
      </c>
      <c r="BU27" s="66">
        <f t="shared" si="23"/>
        <v>0</v>
      </c>
      <c r="BV27" s="66">
        <f t="shared" si="23"/>
        <v>0</v>
      </c>
      <c r="BW27" s="66">
        <f t="shared" si="23"/>
        <v>0</v>
      </c>
      <c r="BX27" s="66">
        <f t="shared" si="23"/>
        <v>0</v>
      </c>
      <c r="BY27" s="66">
        <f t="shared" si="23"/>
        <v>0</v>
      </c>
      <c r="BZ27" s="66">
        <f t="shared" si="24"/>
        <v>0</v>
      </c>
      <c r="CA27" s="66"/>
      <c r="CB27" s="66">
        <f t="shared" si="25"/>
        <v>15679488</v>
      </c>
      <c r="CC27" s="22">
        <f t="shared" si="8"/>
        <v>0.83079400825263094</v>
      </c>
      <c r="CD27" s="66">
        <f t="shared" si="9"/>
        <v>259888980</v>
      </c>
      <c r="CE27" s="66"/>
      <c r="CF27" s="66">
        <f>+'[1]OCTUBRE 2019'!$H$3686+'[1]OCTUBRE 2019'!$H$3715+'[1]OCTUBRE 2019'!$H$3718+'[1]OCTUBRE 2019'!$H$3721+'[1]OCTUBRE 2019'!$H$3724+'[1]OCTUBRE 2019'!$H$3727+'[1]OCTUBRE 2019'!$H$3739</f>
        <v>143672789</v>
      </c>
      <c r="CG27" s="66"/>
      <c r="CH27" s="66"/>
      <c r="CI27" s="66"/>
      <c r="CJ27" s="66"/>
      <c r="CK27" s="66"/>
      <c r="CL27" s="66"/>
      <c r="CM27" s="66"/>
      <c r="CN27" s="66"/>
      <c r="CO27" s="66"/>
      <c r="CP27" s="66"/>
      <c r="CQ27" s="66"/>
      <c r="CR27" s="66"/>
      <c r="CS27" s="66"/>
      <c r="CT27" s="66"/>
      <c r="CU27" s="66"/>
      <c r="CV27" s="66"/>
      <c r="CW27" s="66"/>
      <c r="CX27" s="66"/>
      <c r="CY27" s="66"/>
      <c r="CZ27" s="66"/>
      <c r="DA27" s="66">
        <f>+'[1]OCTUBRE 2019'!$H$3675-CF27</f>
        <v>116216191</v>
      </c>
      <c r="DB27" s="22">
        <f t="shared" si="10"/>
        <v>0.16920599174736906</v>
      </c>
      <c r="DC27" s="66">
        <f t="shared" si="11"/>
        <v>52931018</v>
      </c>
      <c r="DD27" s="66">
        <f t="shared" si="26"/>
        <v>0</v>
      </c>
      <c r="DE27" s="66">
        <f t="shared" si="26"/>
        <v>28240543</v>
      </c>
      <c r="DF27" s="66">
        <f t="shared" si="26"/>
        <v>0</v>
      </c>
      <c r="DG27" s="66">
        <f t="shared" si="26"/>
        <v>0</v>
      </c>
      <c r="DH27" s="66">
        <f t="shared" si="26"/>
        <v>0</v>
      </c>
      <c r="DI27" s="66">
        <f t="shared" si="26"/>
        <v>0</v>
      </c>
      <c r="DJ27" s="66">
        <f t="shared" si="26"/>
        <v>0</v>
      </c>
      <c r="DK27" s="66">
        <f t="shared" si="26"/>
        <v>0</v>
      </c>
      <c r="DL27" s="66">
        <f t="shared" si="26"/>
        <v>0</v>
      </c>
      <c r="DM27" s="66">
        <f t="shared" si="26"/>
        <v>0</v>
      </c>
      <c r="DN27" s="66">
        <f t="shared" si="26"/>
        <v>0</v>
      </c>
      <c r="DO27" s="66">
        <f t="shared" si="26"/>
        <v>0</v>
      </c>
      <c r="DP27" s="66">
        <f t="shared" si="26"/>
        <v>0</v>
      </c>
      <c r="DQ27" s="66">
        <f t="shared" si="26"/>
        <v>0</v>
      </c>
      <c r="DR27" s="66">
        <f t="shared" si="26"/>
        <v>0</v>
      </c>
      <c r="DS27" s="66">
        <f t="shared" si="26"/>
        <v>0</v>
      </c>
      <c r="DT27" s="66">
        <f t="shared" si="27"/>
        <v>0</v>
      </c>
      <c r="DU27" s="66">
        <f t="shared" si="27"/>
        <v>0</v>
      </c>
      <c r="DV27" s="66">
        <f t="shared" si="27"/>
        <v>0</v>
      </c>
      <c r="DW27" s="66">
        <f t="shared" si="27"/>
        <v>0</v>
      </c>
      <c r="DX27" s="66">
        <f t="shared" si="27"/>
        <v>0</v>
      </c>
      <c r="DY27" s="66"/>
      <c r="DZ27" s="66">
        <f t="shared" si="28"/>
        <v>24690475</v>
      </c>
    </row>
    <row r="28" spans="1:130" ht="22.2" hidden="1" customHeight="1" x14ac:dyDescent="0.3">
      <c r="A28" s="128"/>
      <c r="B28" s="239"/>
      <c r="C28" s="101" t="s">
        <v>315</v>
      </c>
      <c r="D28" s="69" t="s">
        <v>314</v>
      </c>
      <c r="E28" s="124">
        <v>510</v>
      </c>
      <c r="F28" s="67" t="s">
        <v>313</v>
      </c>
      <c r="G28" s="66">
        <f t="shared" si="0"/>
        <v>5000000</v>
      </c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>
        <v>5000000</v>
      </c>
      <c r="Y28" s="66"/>
      <c r="Z28" s="66"/>
      <c r="AA28" s="66"/>
      <c r="AB28" s="66"/>
      <c r="AC28" s="66"/>
      <c r="AD28" s="66">
        <f>50000000-50000000</f>
        <v>0</v>
      </c>
      <c r="AE28" s="22">
        <f t="shared" si="20"/>
        <v>0</v>
      </c>
      <c r="AF28" s="66">
        <f t="shared" si="21"/>
        <v>0</v>
      </c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22">
        <f t="shared" si="3"/>
        <v>1</v>
      </c>
      <c r="BE28" s="66">
        <f t="shared" si="4"/>
        <v>5000000</v>
      </c>
      <c r="BF28" s="66">
        <f t="shared" si="22"/>
        <v>0</v>
      </c>
      <c r="BG28" s="66">
        <f t="shared" si="22"/>
        <v>0</v>
      </c>
      <c r="BH28" s="66">
        <f t="shared" si="22"/>
        <v>0</v>
      </c>
      <c r="BI28" s="66">
        <f t="shared" si="16"/>
        <v>0</v>
      </c>
      <c r="BJ28" s="66">
        <f t="shared" si="23"/>
        <v>0</v>
      </c>
      <c r="BK28" s="66">
        <f t="shared" si="23"/>
        <v>0</v>
      </c>
      <c r="BL28" s="66">
        <f t="shared" si="23"/>
        <v>0</v>
      </c>
      <c r="BM28" s="66">
        <f t="shared" si="23"/>
        <v>0</v>
      </c>
      <c r="BN28" s="66">
        <f t="shared" si="23"/>
        <v>0</v>
      </c>
      <c r="BO28" s="66">
        <f t="shared" si="23"/>
        <v>0</v>
      </c>
      <c r="BP28" s="66">
        <f t="shared" si="23"/>
        <v>0</v>
      </c>
      <c r="BQ28" s="66">
        <f t="shared" si="23"/>
        <v>0</v>
      </c>
      <c r="BR28" s="66">
        <f t="shared" si="23"/>
        <v>0</v>
      </c>
      <c r="BS28" s="66">
        <f t="shared" si="23"/>
        <v>0</v>
      </c>
      <c r="BT28" s="66">
        <f t="shared" si="23"/>
        <v>0</v>
      </c>
      <c r="BU28" s="66">
        <f t="shared" si="23"/>
        <v>0</v>
      </c>
      <c r="BV28" s="66">
        <f t="shared" si="23"/>
        <v>5000000</v>
      </c>
      <c r="BW28" s="66">
        <f t="shared" si="23"/>
        <v>0</v>
      </c>
      <c r="BX28" s="66">
        <f t="shared" si="23"/>
        <v>0</v>
      </c>
      <c r="BY28" s="66">
        <f t="shared" si="23"/>
        <v>0</v>
      </c>
      <c r="BZ28" s="66">
        <f t="shared" si="24"/>
        <v>0</v>
      </c>
      <c r="CA28" s="66"/>
      <c r="CB28" s="66">
        <f t="shared" si="25"/>
        <v>0</v>
      </c>
      <c r="CC28" s="22">
        <f t="shared" si="8"/>
        <v>0</v>
      </c>
      <c r="CD28" s="66">
        <f t="shared" si="9"/>
        <v>0</v>
      </c>
      <c r="CE28" s="66"/>
      <c r="CF28" s="66"/>
      <c r="CG28" s="66"/>
      <c r="CH28" s="66"/>
      <c r="CI28" s="66"/>
      <c r="CJ28" s="66"/>
      <c r="CK28" s="66"/>
      <c r="CL28" s="66"/>
      <c r="CM28" s="66"/>
      <c r="CN28" s="66"/>
      <c r="CO28" s="66"/>
      <c r="CP28" s="66"/>
      <c r="CQ28" s="66"/>
      <c r="CR28" s="66"/>
      <c r="CS28" s="66"/>
      <c r="CT28" s="66"/>
      <c r="CU28" s="66"/>
      <c r="CV28" s="66"/>
      <c r="CW28" s="66"/>
      <c r="CX28" s="66"/>
      <c r="CY28" s="66"/>
      <c r="CZ28" s="66"/>
      <c r="DA28" s="66"/>
      <c r="DB28" s="22">
        <f t="shared" si="10"/>
        <v>1</v>
      </c>
      <c r="DC28" s="66">
        <f t="shared" si="11"/>
        <v>5000000</v>
      </c>
      <c r="DD28" s="66">
        <f t="shared" si="26"/>
        <v>0</v>
      </c>
      <c r="DE28" s="66">
        <f t="shared" si="26"/>
        <v>0</v>
      </c>
      <c r="DF28" s="66">
        <f t="shared" si="26"/>
        <v>0</v>
      </c>
      <c r="DG28" s="66">
        <f t="shared" si="26"/>
        <v>0</v>
      </c>
      <c r="DH28" s="66">
        <f t="shared" si="26"/>
        <v>0</v>
      </c>
      <c r="DI28" s="66">
        <f t="shared" si="26"/>
        <v>0</v>
      </c>
      <c r="DJ28" s="66">
        <f t="shared" si="26"/>
        <v>0</v>
      </c>
      <c r="DK28" s="66">
        <f t="shared" si="26"/>
        <v>0</v>
      </c>
      <c r="DL28" s="66">
        <f t="shared" si="26"/>
        <v>0</v>
      </c>
      <c r="DM28" s="66">
        <f t="shared" si="26"/>
        <v>0</v>
      </c>
      <c r="DN28" s="66">
        <f t="shared" si="26"/>
        <v>0</v>
      </c>
      <c r="DO28" s="66">
        <f t="shared" si="26"/>
        <v>0</v>
      </c>
      <c r="DP28" s="66">
        <f t="shared" si="26"/>
        <v>0</v>
      </c>
      <c r="DQ28" s="66">
        <f t="shared" si="26"/>
        <v>0</v>
      </c>
      <c r="DR28" s="66">
        <f t="shared" si="26"/>
        <v>0</v>
      </c>
      <c r="DS28" s="66">
        <f t="shared" si="26"/>
        <v>0</v>
      </c>
      <c r="DT28" s="66">
        <f t="shared" si="27"/>
        <v>5000000</v>
      </c>
      <c r="DU28" s="66">
        <f t="shared" si="27"/>
        <v>0</v>
      </c>
      <c r="DV28" s="66">
        <f t="shared" si="27"/>
        <v>0</v>
      </c>
      <c r="DW28" s="66">
        <f t="shared" si="27"/>
        <v>0</v>
      </c>
      <c r="DX28" s="66">
        <f t="shared" si="27"/>
        <v>0</v>
      </c>
      <c r="DY28" s="66"/>
      <c r="DZ28" s="66">
        <f t="shared" si="28"/>
        <v>0</v>
      </c>
    </row>
    <row r="29" spans="1:130" ht="27.6" hidden="1" customHeight="1" x14ac:dyDescent="0.3">
      <c r="A29" s="128"/>
      <c r="B29" s="239"/>
      <c r="C29" s="101" t="s">
        <v>312</v>
      </c>
      <c r="D29" s="69" t="s">
        <v>311</v>
      </c>
      <c r="E29" s="124">
        <v>510</v>
      </c>
      <c r="F29" s="67" t="s">
        <v>310</v>
      </c>
      <c r="G29" s="66">
        <f t="shared" si="0"/>
        <v>132586668</v>
      </c>
      <c r="H29" s="66"/>
      <c r="I29" s="66">
        <f>100000000+18086668</f>
        <v>118086668</v>
      </c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>
        <f>14500000</f>
        <v>14500000</v>
      </c>
      <c r="AE29" s="22">
        <f t="shared" si="20"/>
        <v>0.9165477180556344</v>
      </c>
      <c r="AF29" s="66">
        <f t="shared" si="21"/>
        <v>121522008</v>
      </c>
      <c r="AG29" s="66"/>
      <c r="AH29" s="66">
        <f>+'[1]OCTUBRE 2019'!$K$3779</f>
        <v>118086668</v>
      </c>
      <c r="AI29" s="66"/>
      <c r="AJ29" s="66"/>
      <c r="AK29" s="66"/>
      <c r="AL29" s="66"/>
      <c r="AM29" s="66"/>
      <c r="AN29" s="66"/>
      <c r="AO29" s="66"/>
      <c r="AP29" s="66"/>
      <c r="AQ29" s="66"/>
      <c r="AR29" s="66"/>
      <c r="AS29" s="66"/>
      <c r="AT29" s="66"/>
      <c r="AU29" s="66"/>
      <c r="AV29" s="66"/>
      <c r="AW29" s="66"/>
      <c r="AX29" s="66"/>
      <c r="AY29" s="66"/>
      <c r="AZ29" s="66"/>
      <c r="BA29" s="66"/>
      <c r="BB29" s="66"/>
      <c r="BC29" s="66">
        <f>+'[1]OCTUBRE 2019'!$AG$3779</f>
        <v>3435340</v>
      </c>
      <c r="BD29" s="22">
        <f t="shared" si="3"/>
        <v>8.3452281944365603E-2</v>
      </c>
      <c r="BE29" s="66">
        <f t="shared" si="4"/>
        <v>11064660</v>
      </c>
      <c r="BF29" s="66">
        <f t="shared" si="22"/>
        <v>0</v>
      </c>
      <c r="BG29" s="66">
        <f t="shared" si="22"/>
        <v>0</v>
      </c>
      <c r="BH29" s="66">
        <f t="shared" si="22"/>
        <v>0</v>
      </c>
      <c r="BI29" s="66">
        <f t="shared" si="16"/>
        <v>0</v>
      </c>
      <c r="BJ29" s="66">
        <f t="shared" si="23"/>
        <v>0</v>
      </c>
      <c r="BK29" s="66">
        <f t="shared" si="23"/>
        <v>0</v>
      </c>
      <c r="BL29" s="66">
        <f t="shared" si="23"/>
        <v>0</v>
      </c>
      <c r="BM29" s="66">
        <f t="shared" si="23"/>
        <v>0</v>
      </c>
      <c r="BN29" s="66">
        <f t="shared" si="23"/>
        <v>0</v>
      </c>
      <c r="BO29" s="66">
        <f t="shared" si="23"/>
        <v>0</v>
      </c>
      <c r="BP29" s="66">
        <f t="shared" si="23"/>
        <v>0</v>
      </c>
      <c r="BQ29" s="66">
        <f t="shared" si="23"/>
        <v>0</v>
      </c>
      <c r="BR29" s="66">
        <f t="shared" si="23"/>
        <v>0</v>
      </c>
      <c r="BS29" s="66">
        <f t="shared" si="23"/>
        <v>0</v>
      </c>
      <c r="BT29" s="66">
        <f t="shared" si="23"/>
        <v>0</v>
      </c>
      <c r="BU29" s="66">
        <f t="shared" si="23"/>
        <v>0</v>
      </c>
      <c r="BV29" s="66">
        <f t="shared" si="23"/>
        <v>0</v>
      </c>
      <c r="BW29" s="66">
        <f t="shared" si="23"/>
        <v>0</v>
      </c>
      <c r="BX29" s="66">
        <f t="shared" si="23"/>
        <v>0</v>
      </c>
      <c r="BY29" s="66">
        <f t="shared" si="23"/>
        <v>0</v>
      </c>
      <c r="BZ29" s="66">
        <f t="shared" si="24"/>
        <v>0</v>
      </c>
      <c r="CA29" s="66"/>
      <c r="CB29" s="66">
        <f t="shared" si="25"/>
        <v>11064660</v>
      </c>
      <c r="CC29" s="22">
        <f t="shared" si="8"/>
        <v>0.74415617715048088</v>
      </c>
      <c r="CD29" s="66">
        <f t="shared" si="9"/>
        <v>98665188</v>
      </c>
      <c r="CE29" s="66"/>
      <c r="CF29" s="66">
        <f>+'[1]OCTUBRE 2019'!$H$3777-DA29</f>
        <v>97426225</v>
      </c>
      <c r="CG29" s="66"/>
      <c r="CH29" s="66"/>
      <c r="CI29" s="66"/>
      <c r="CJ29" s="66"/>
      <c r="CK29" s="66"/>
      <c r="CL29" s="66"/>
      <c r="CM29" s="66"/>
      <c r="CN29" s="66"/>
      <c r="CO29" s="66"/>
      <c r="CP29" s="66"/>
      <c r="CQ29" s="66"/>
      <c r="CR29" s="66"/>
      <c r="CS29" s="66"/>
      <c r="CT29" s="66"/>
      <c r="CU29" s="66"/>
      <c r="CV29" s="66"/>
      <c r="CW29" s="66"/>
      <c r="CX29" s="66"/>
      <c r="CY29" s="66"/>
      <c r="CZ29" s="66"/>
      <c r="DA29" s="66">
        <f>+'[1]OCTUBRE 2019'!$H$3791+'[1]OCTUBRE 2019'!$H$3818</f>
        <v>1238963</v>
      </c>
      <c r="DB29" s="22">
        <f t="shared" si="10"/>
        <v>0.25584382284951912</v>
      </c>
      <c r="DC29" s="66">
        <f t="shared" si="11"/>
        <v>33921480</v>
      </c>
      <c r="DD29" s="66">
        <f t="shared" si="26"/>
        <v>0</v>
      </c>
      <c r="DE29" s="66">
        <f t="shared" si="26"/>
        <v>20660443</v>
      </c>
      <c r="DF29" s="66">
        <f t="shared" si="26"/>
        <v>0</v>
      </c>
      <c r="DG29" s="66">
        <f t="shared" si="26"/>
        <v>0</v>
      </c>
      <c r="DH29" s="66">
        <f t="shared" si="26"/>
        <v>0</v>
      </c>
      <c r="DI29" s="66">
        <f t="shared" si="26"/>
        <v>0</v>
      </c>
      <c r="DJ29" s="66">
        <f t="shared" si="26"/>
        <v>0</v>
      </c>
      <c r="DK29" s="66">
        <f t="shared" si="26"/>
        <v>0</v>
      </c>
      <c r="DL29" s="66">
        <f t="shared" si="26"/>
        <v>0</v>
      </c>
      <c r="DM29" s="66">
        <f t="shared" si="26"/>
        <v>0</v>
      </c>
      <c r="DN29" s="66">
        <f t="shared" si="26"/>
        <v>0</v>
      </c>
      <c r="DO29" s="66">
        <f t="shared" si="26"/>
        <v>0</v>
      </c>
      <c r="DP29" s="66">
        <f t="shared" si="26"/>
        <v>0</v>
      </c>
      <c r="DQ29" s="66">
        <f t="shared" si="26"/>
        <v>0</v>
      </c>
      <c r="DR29" s="66">
        <f t="shared" si="26"/>
        <v>0</v>
      </c>
      <c r="DS29" s="66">
        <f t="shared" si="26"/>
        <v>0</v>
      </c>
      <c r="DT29" s="66">
        <f t="shared" si="27"/>
        <v>0</v>
      </c>
      <c r="DU29" s="66">
        <f t="shared" si="27"/>
        <v>0</v>
      </c>
      <c r="DV29" s="66">
        <f t="shared" si="27"/>
        <v>0</v>
      </c>
      <c r="DW29" s="66">
        <f t="shared" si="27"/>
        <v>0</v>
      </c>
      <c r="DX29" s="66">
        <f t="shared" si="27"/>
        <v>0</v>
      </c>
      <c r="DY29" s="66"/>
      <c r="DZ29" s="66">
        <f t="shared" si="28"/>
        <v>13261037</v>
      </c>
    </row>
    <row r="30" spans="1:130" ht="73.8" hidden="1" customHeight="1" x14ac:dyDescent="0.3">
      <c r="A30" s="128"/>
      <c r="B30" s="239"/>
      <c r="C30" s="101" t="s">
        <v>309</v>
      </c>
      <c r="D30" s="69" t="s">
        <v>308</v>
      </c>
      <c r="E30" s="124">
        <v>510</v>
      </c>
      <c r="F30" s="67" t="s">
        <v>283</v>
      </c>
      <c r="G30" s="66">
        <f t="shared" si="0"/>
        <v>40000000</v>
      </c>
      <c r="H30" s="66"/>
      <c r="I30" s="66">
        <v>40000000</v>
      </c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22">
        <f t="shared" si="20"/>
        <v>0</v>
      </c>
      <c r="AF30" s="66">
        <f t="shared" si="21"/>
        <v>0</v>
      </c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22">
        <f t="shared" si="3"/>
        <v>1</v>
      </c>
      <c r="BE30" s="66">
        <f t="shared" si="4"/>
        <v>40000000</v>
      </c>
      <c r="BF30" s="66">
        <f t="shared" si="22"/>
        <v>0</v>
      </c>
      <c r="BG30" s="66">
        <f t="shared" si="22"/>
        <v>40000000</v>
      </c>
      <c r="BH30" s="66">
        <f t="shared" si="22"/>
        <v>0</v>
      </c>
      <c r="BI30" s="66">
        <f t="shared" si="16"/>
        <v>0</v>
      </c>
      <c r="BJ30" s="66">
        <f t="shared" si="23"/>
        <v>0</v>
      </c>
      <c r="BK30" s="66">
        <f t="shared" si="23"/>
        <v>0</v>
      </c>
      <c r="BL30" s="66">
        <f t="shared" si="23"/>
        <v>0</v>
      </c>
      <c r="BM30" s="66">
        <f t="shared" si="23"/>
        <v>0</v>
      </c>
      <c r="BN30" s="66">
        <f t="shared" si="23"/>
        <v>0</v>
      </c>
      <c r="BO30" s="66">
        <f t="shared" si="23"/>
        <v>0</v>
      </c>
      <c r="BP30" s="66">
        <f t="shared" si="23"/>
        <v>0</v>
      </c>
      <c r="BQ30" s="66">
        <f t="shared" si="23"/>
        <v>0</v>
      </c>
      <c r="BR30" s="66">
        <f t="shared" si="23"/>
        <v>0</v>
      </c>
      <c r="BS30" s="66">
        <f t="shared" si="23"/>
        <v>0</v>
      </c>
      <c r="BT30" s="66">
        <f t="shared" si="23"/>
        <v>0</v>
      </c>
      <c r="BU30" s="66">
        <f t="shared" si="23"/>
        <v>0</v>
      </c>
      <c r="BV30" s="66">
        <f t="shared" si="23"/>
        <v>0</v>
      </c>
      <c r="BW30" s="66">
        <f t="shared" si="23"/>
        <v>0</v>
      </c>
      <c r="BX30" s="66">
        <f t="shared" si="23"/>
        <v>0</v>
      </c>
      <c r="BY30" s="66">
        <f t="shared" si="23"/>
        <v>0</v>
      </c>
      <c r="BZ30" s="66">
        <f t="shared" si="24"/>
        <v>0</v>
      </c>
      <c r="CA30" s="66"/>
      <c r="CB30" s="66">
        <f t="shared" si="25"/>
        <v>0</v>
      </c>
      <c r="CC30" s="22">
        <f t="shared" si="8"/>
        <v>0</v>
      </c>
      <c r="CD30" s="66">
        <f t="shared" si="9"/>
        <v>0</v>
      </c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22">
        <f t="shared" si="10"/>
        <v>1</v>
      </c>
      <c r="DC30" s="66">
        <f t="shared" si="11"/>
        <v>40000000</v>
      </c>
      <c r="DD30" s="66">
        <f t="shared" si="26"/>
        <v>0</v>
      </c>
      <c r="DE30" s="66">
        <f t="shared" si="26"/>
        <v>40000000</v>
      </c>
      <c r="DF30" s="66">
        <f t="shared" si="26"/>
        <v>0</v>
      </c>
      <c r="DG30" s="66">
        <f t="shared" si="26"/>
        <v>0</v>
      </c>
      <c r="DH30" s="66">
        <f t="shared" si="26"/>
        <v>0</v>
      </c>
      <c r="DI30" s="66">
        <f t="shared" si="26"/>
        <v>0</v>
      </c>
      <c r="DJ30" s="66">
        <f t="shared" si="26"/>
        <v>0</v>
      </c>
      <c r="DK30" s="66">
        <f t="shared" si="26"/>
        <v>0</v>
      </c>
      <c r="DL30" s="66">
        <f t="shared" si="26"/>
        <v>0</v>
      </c>
      <c r="DM30" s="66">
        <f t="shared" si="26"/>
        <v>0</v>
      </c>
      <c r="DN30" s="66">
        <f t="shared" si="26"/>
        <v>0</v>
      </c>
      <c r="DO30" s="66">
        <f t="shared" si="26"/>
        <v>0</v>
      </c>
      <c r="DP30" s="66">
        <f t="shared" si="26"/>
        <v>0</v>
      </c>
      <c r="DQ30" s="66">
        <f t="shared" si="26"/>
        <v>0</v>
      </c>
      <c r="DR30" s="66">
        <f t="shared" si="26"/>
        <v>0</v>
      </c>
      <c r="DS30" s="66">
        <f t="shared" si="26"/>
        <v>0</v>
      </c>
      <c r="DT30" s="66">
        <f t="shared" si="27"/>
        <v>0</v>
      </c>
      <c r="DU30" s="66">
        <f t="shared" si="27"/>
        <v>0</v>
      </c>
      <c r="DV30" s="66">
        <f t="shared" si="27"/>
        <v>0</v>
      </c>
      <c r="DW30" s="66">
        <f t="shared" si="27"/>
        <v>0</v>
      </c>
      <c r="DX30" s="66">
        <f t="shared" si="27"/>
        <v>0</v>
      </c>
      <c r="DY30" s="66"/>
      <c r="DZ30" s="66">
        <f t="shared" si="28"/>
        <v>0</v>
      </c>
    </row>
    <row r="31" spans="1:130" ht="40.799999999999997" hidden="1" customHeight="1" x14ac:dyDescent="0.3">
      <c r="A31" s="128"/>
      <c r="B31" s="240"/>
      <c r="C31" s="101" t="s">
        <v>307</v>
      </c>
      <c r="D31" s="69" t="s">
        <v>306</v>
      </c>
      <c r="E31" s="124">
        <v>510</v>
      </c>
      <c r="F31" s="67" t="s">
        <v>283</v>
      </c>
      <c r="G31" s="66">
        <f t="shared" si="0"/>
        <v>10000000</v>
      </c>
      <c r="H31" s="66"/>
      <c r="I31" s="66">
        <v>6000000</v>
      </c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>
        <v>4000000</v>
      </c>
      <c r="Y31" s="66"/>
      <c r="Z31" s="66"/>
      <c r="AA31" s="66"/>
      <c r="AB31" s="66"/>
      <c r="AC31" s="66"/>
      <c r="AD31" s="66"/>
      <c r="AE31" s="22"/>
      <c r="AF31" s="66">
        <f t="shared" si="21"/>
        <v>10000000</v>
      </c>
      <c r="AG31" s="66"/>
      <c r="AH31" s="66">
        <f>+'[3]JULIO 2019'!$K$2584</f>
        <v>6000000</v>
      </c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>
        <f>+'[3]JULIO 2019'!$Y$2584</f>
        <v>4000000</v>
      </c>
      <c r="AX31" s="66"/>
      <c r="AY31" s="66"/>
      <c r="AZ31" s="66"/>
      <c r="BA31" s="66"/>
      <c r="BB31" s="66"/>
      <c r="BC31" s="66"/>
      <c r="BD31" s="22">
        <f t="shared" si="3"/>
        <v>1</v>
      </c>
      <c r="BE31" s="66">
        <f t="shared" si="4"/>
        <v>0</v>
      </c>
      <c r="BF31" s="66">
        <f t="shared" si="22"/>
        <v>0</v>
      </c>
      <c r="BG31" s="66">
        <f t="shared" si="22"/>
        <v>0</v>
      </c>
      <c r="BH31" s="66">
        <f t="shared" si="22"/>
        <v>0</v>
      </c>
      <c r="BI31" s="66">
        <f t="shared" si="16"/>
        <v>0</v>
      </c>
      <c r="BJ31" s="66">
        <f t="shared" si="23"/>
        <v>0</v>
      </c>
      <c r="BK31" s="66">
        <f t="shared" si="23"/>
        <v>0</v>
      </c>
      <c r="BL31" s="66">
        <f t="shared" si="23"/>
        <v>0</v>
      </c>
      <c r="BM31" s="66">
        <f t="shared" si="23"/>
        <v>0</v>
      </c>
      <c r="BN31" s="66">
        <f t="shared" si="23"/>
        <v>0</v>
      </c>
      <c r="BO31" s="66">
        <f t="shared" si="23"/>
        <v>0</v>
      </c>
      <c r="BP31" s="66">
        <f t="shared" si="23"/>
        <v>0</v>
      </c>
      <c r="BQ31" s="66">
        <f t="shared" si="23"/>
        <v>0</v>
      </c>
      <c r="BR31" s="66">
        <f t="shared" si="23"/>
        <v>0</v>
      </c>
      <c r="BS31" s="66">
        <f t="shared" si="23"/>
        <v>0</v>
      </c>
      <c r="BT31" s="66">
        <f t="shared" si="23"/>
        <v>0</v>
      </c>
      <c r="BU31" s="66">
        <f t="shared" si="23"/>
        <v>0</v>
      </c>
      <c r="BV31" s="66">
        <f t="shared" si="23"/>
        <v>0</v>
      </c>
      <c r="BW31" s="66">
        <f t="shared" si="23"/>
        <v>0</v>
      </c>
      <c r="BX31" s="66">
        <f t="shared" si="23"/>
        <v>0</v>
      </c>
      <c r="BY31" s="66">
        <f t="shared" si="23"/>
        <v>0</v>
      </c>
      <c r="BZ31" s="66">
        <f t="shared" si="24"/>
        <v>0</v>
      </c>
      <c r="CA31" s="66"/>
      <c r="CB31" s="66">
        <f t="shared" si="25"/>
        <v>0</v>
      </c>
      <c r="CC31" s="22">
        <f t="shared" si="8"/>
        <v>0.755</v>
      </c>
      <c r="CD31" s="66">
        <f t="shared" si="9"/>
        <v>7550000</v>
      </c>
      <c r="CE31" s="66"/>
      <c r="CF31" s="66">
        <f>+'[3]JULIO 2019'!$H$2589</f>
        <v>3550000</v>
      </c>
      <c r="CG31" s="66"/>
      <c r="CH31" s="66"/>
      <c r="CI31" s="66"/>
      <c r="CJ31" s="66"/>
      <c r="CK31" s="66"/>
      <c r="CL31" s="66"/>
      <c r="CM31" s="66"/>
      <c r="CN31" s="66"/>
      <c r="CO31" s="66"/>
      <c r="CP31" s="66"/>
      <c r="CQ31" s="66"/>
      <c r="CR31" s="66"/>
      <c r="CS31" s="66"/>
      <c r="CT31" s="66"/>
      <c r="CU31" s="66">
        <f>+'[3]JULIO 2019'!$H$2585</f>
        <v>4000000</v>
      </c>
      <c r="CV31" s="66"/>
      <c r="CW31" s="66"/>
      <c r="CX31" s="66"/>
      <c r="CY31" s="66"/>
      <c r="CZ31" s="66"/>
      <c r="DA31" s="66"/>
      <c r="DB31" s="22">
        <f t="shared" si="10"/>
        <v>0.245</v>
      </c>
      <c r="DC31" s="66">
        <f t="shared" si="11"/>
        <v>2450000</v>
      </c>
      <c r="DD31" s="66">
        <f t="shared" si="26"/>
        <v>0</v>
      </c>
      <c r="DE31" s="66">
        <f t="shared" si="26"/>
        <v>2450000</v>
      </c>
      <c r="DF31" s="66">
        <f t="shared" si="26"/>
        <v>0</v>
      </c>
      <c r="DG31" s="66">
        <f t="shared" si="26"/>
        <v>0</v>
      </c>
      <c r="DH31" s="66">
        <f t="shared" si="26"/>
        <v>0</v>
      </c>
      <c r="DI31" s="66">
        <f t="shared" si="26"/>
        <v>0</v>
      </c>
      <c r="DJ31" s="66">
        <f t="shared" si="26"/>
        <v>0</v>
      </c>
      <c r="DK31" s="66">
        <f t="shared" si="26"/>
        <v>0</v>
      </c>
      <c r="DL31" s="66">
        <f t="shared" si="26"/>
        <v>0</v>
      </c>
      <c r="DM31" s="66">
        <f t="shared" si="26"/>
        <v>0</v>
      </c>
      <c r="DN31" s="66">
        <f t="shared" si="26"/>
        <v>0</v>
      </c>
      <c r="DO31" s="66">
        <f t="shared" si="26"/>
        <v>0</v>
      </c>
      <c r="DP31" s="66">
        <f t="shared" si="26"/>
        <v>0</v>
      </c>
      <c r="DQ31" s="66">
        <f t="shared" si="26"/>
        <v>0</v>
      </c>
      <c r="DR31" s="66">
        <f t="shared" si="26"/>
        <v>0</v>
      </c>
      <c r="DS31" s="66">
        <f t="shared" si="26"/>
        <v>0</v>
      </c>
      <c r="DT31" s="66">
        <f t="shared" si="27"/>
        <v>0</v>
      </c>
      <c r="DU31" s="66">
        <f t="shared" si="27"/>
        <v>0</v>
      </c>
      <c r="DV31" s="66">
        <f t="shared" si="27"/>
        <v>0</v>
      </c>
      <c r="DW31" s="66">
        <f t="shared" si="27"/>
        <v>0</v>
      </c>
      <c r="DX31" s="66">
        <f t="shared" si="27"/>
        <v>0</v>
      </c>
      <c r="DY31" s="66"/>
      <c r="DZ31" s="66">
        <f t="shared" si="28"/>
        <v>0</v>
      </c>
    </row>
    <row r="32" spans="1:130" ht="28.2" hidden="1" customHeight="1" x14ac:dyDescent="0.3">
      <c r="A32" s="128"/>
      <c r="B32" s="241" t="s">
        <v>305</v>
      </c>
      <c r="C32" s="101" t="s">
        <v>304</v>
      </c>
      <c r="D32" s="69" t="s">
        <v>303</v>
      </c>
      <c r="E32" s="124">
        <v>510</v>
      </c>
      <c r="F32" s="67" t="s">
        <v>283</v>
      </c>
      <c r="G32" s="66">
        <f t="shared" si="0"/>
        <v>4000000</v>
      </c>
      <c r="H32" s="66"/>
      <c r="I32" s="66">
        <v>4000000</v>
      </c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22">
        <f t="shared" ref="AE32:AE84" si="29">+AF32/G32</f>
        <v>1</v>
      </c>
      <c r="AF32" s="66">
        <f t="shared" si="21"/>
        <v>4000000</v>
      </c>
      <c r="AG32" s="66"/>
      <c r="AH32" s="66">
        <f>+'[1]OCTUBRE 2019'!$G$3845</f>
        <v>4000000</v>
      </c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22">
        <f t="shared" si="3"/>
        <v>0</v>
      </c>
      <c r="BE32" s="66">
        <f t="shared" si="4"/>
        <v>0</v>
      </c>
      <c r="BF32" s="66">
        <f t="shared" si="22"/>
        <v>0</v>
      </c>
      <c r="BG32" s="66">
        <f t="shared" si="22"/>
        <v>0</v>
      </c>
      <c r="BH32" s="66">
        <f t="shared" si="22"/>
        <v>0</v>
      </c>
      <c r="BI32" s="66">
        <f t="shared" si="16"/>
        <v>0</v>
      </c>
      <c r="BJ32" s="66">
        <f t="shared" si="23"/>
        <v>0</v>
      </c>
      <c r="BK32" s="66">
        <f t="shared" si="23"/>
        <v>0</v>
      </c>
      <c r="BL32" s="66">
        <f t="shared" si="23"/>
        <v>0</v>
      </c>
      <c r="BM32" s="66">
        <f t="shared" si="23"/>
        <v>0</v>
      </c>
      <c r="BN32" s="66">
        <f t="shared" si="23"/>
        <v>0</v>
      </c>
      <c r="BO32" s="66">
        <f t="shared" si="23"/>
        <v>0</v>
      </c>
      <c r="BP32" s="66">
        <f t="shared" si="23"/>
        <v>0</v>
      </c>
      <c r="BQ32" s="66">
        <f t="shared" si="23"/>
        <v>0</v>
      </c>
      <c r="BR32" s="66">
        <f t="shared" si="23"/>
        <v>0</v>
      </c>
      <c r="BS32" s="66">
        <f t="shared" si="23"/>
        <v>0</v>
      </c>
      <c r="BT32" s="66">
        <f t="shared" si="23"/>
        <v>0</v>
      </c>
      <c r="BU32" s="66">
        <f t="shared" si="23"/>
        <v>0</v>
      </c>
      <c r="BV32" s="66">
        <f t="shared" si="23"/>
        <v>0</v>
      </c>
      <c r="BW32" s="66">
        <f t="shared" si="23"/>
        <v>0</v>
      </c>
      <c r="BX32" s="66">
        <f t="shared" si="23"/>
        <v>0</v>
      </c>
      <c r="BY32" s="66">
        <f t="shared" si="23"/>
        <v>0</v>
      </c>
      <c r="BZ32" s="66">
        <f t="shared" si="24"/>
        <v>0</v>
      </c>
      <c r="CA32" s="66"/>
      <c r="CB32" s="66">
        <f t="shared" si="25"/>
        <v>0</v>
      </c>
      <c r="CC32" s="22">
        <f t="shared" si="8"/>
        <v>0</v>
      </c>
      <c r="CD32" s="66">
        <f t="shared" si="9"/>
        <v>0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Q32" s="66"/>
      <c r="CR32" s="66"/>
      <c r="CS32" s="66"/>
      <c r="CT32" s="66"/>
      <c r="CU32" s="66"/>
      <c r="CV32" s="66"/>
      <c r="CW32" s="66"/>
      <c r="CX32" s="66"/>
      <c r="CY32" s="66"/>
      <c r="CZ32" s="66"/>
      <c r="DA32" s="66"/>
      <c r="DB32" s="22">
        <f t="shared" si="10"/>
        <v>1</v>
      </c>
      <c r="DC32" s="66">
        <f t="shared" si="11"/>
        <v>4000000</v>
      </c>
      <c r="DD32" s="66">
        <f t="shared" si="26"/>
        <v>0</v>
      </c>
      <c r="DE32" s="66">
        <f t="shared" si="26"/>
        <v>4000000</v>
      </c>
      <c r="DF32" s="66">
        <f t="shared" si="26"/>
        <v>0</v>
      </c>
      <c r="DG32" s="66">
        <f t="shared" si="26"/>
        <v>0</v>
      </c>
      <c r="DH32" s="66">
        <f t="shared" si="26"/>
        <v>0</v>
      </c>
      <c r="DI32" s="66">
        <f t="shared" si="26"/>
        <v>0</v>
      </c>
      <c r="DJ32" s="66">
        <f t="shared" si="26"/>
        <v>0</v>
      </c>
      <c r="DK32" s="66">
        <f t="shared" si="26"/>
        <v>0</v>
      </c>
      <c r="DL32" s="66">
        <f t="shared" si="26"/>
        <v>0</v>
      </c>
      <c r="DM32" s="66">
        <f t="shared" si="26"/>
        <v>0</v>
      </c>
      <c r="DN32" s="66">
        <f t="shared" si="26"/>
        <v>0</v>
      </c>
      <c r="DO32" s="66">
        <f t="shared" si="26"/>
        <v>0</v>
      </c>
      <c r="DP32" s="66">
        <f t="shared" si="26"/>
        <v>0</v>
      </c>
      <c r="DQ32" s="66">
        <f t="shared" si="26"/>
        <v>0</v>
      </c>
      <c r="DR32" s="66">
        <f t="shared" si="26"/>
        <v>0</v>
      </c>
      <c r="DS32" s="66">
        <f t="shared" si="26"/>
        <v>0</v>
      </c>
      <c r="DT32" s="66">
        <f t="shared" si="27"/>
        <v>0</v>
      </c>
      <c r="DU32" s="66">
        <f t="shared" si="27"/>
        <v>0</v>
      </c>
      <c r="DV32" s="66">
        <f t="shared" si="27"/>
        <v>0</v>
      </c>
      <c r="DW32" s="66">
        <f t="shared" si="27"/>
        <v>0</v>
      </c>
      <c r="DX32" s="66">
        <f t="shared" si="27"/>
        <v>0</v>
      </c>
      <c r="DY32" s="66"/>
      <c r="DZ32" s="66">
        <f t="shared" si="28"/>
        <v>0</v>
      </c>
    </row>
    <row r="33" spans="1:135" ht="30" hidden="1" customHeight="1" x14ac:dyDescent="0.3">
      <c r="A33" s="128"/>
      <c r="B33" s="241"/>
      <c r="C33" s="101" t="s">
        <v>302</v>
      </c>
      <c r="D33" s="69" t="s">
        <v>301</v>
      </c>
      <c r="E33" s="124">
        <v>510</v>
      </c>
      <c r="F33" s="67" t="s">
        <v>300</v>
      </c>
      <c r="G33" s="66">
        <f t="shared" si="0"/>
        <v>82200000</v>
      </c>
      <c r="H33" s="66"/>
      <c r="I33" s="66">
        <v>75000000</v>
      </c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>
        <f>3200000+4000000</f>
        <v>7200000</v>
      </c>
      <c r="AE33" s="22">
        <f t="shared" si="29"/>
        <v>1</v>
      </c>
      <c r="AF33" s="66">
        <f t="shared" si="21"/>
        <v>82200000</v>
      </c>
      <c r="AG33" s="66"/>
      <c r="AH33" s="66">
        <f>+'[9]ENERO 2019'!$K$943</f>
        <v>75000000</v>
      </c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>
        <f>+'[3]JULIO 2019'!$AF$2604</f>
        <v>7200000</v>
      </c>
      <c r="BD33" s="22">
        <f t="shared" si="3"/>
        <v>0</v>
      </c>
      <c r="BE33" s="66">
        <f t="shared" si="4"/>
        <v>0</v>
      </c>
      <c r="BF33" s="66">
        <f t="shared" si="22"/>
        <v>0</v>
      </c>
      <c r="BG33" s="66">
        <f t="shared" si="22"/>
        <v>0</v>
      </c>
      <c r="BH33" s="66">
        <f t="shared" si="22"/>
        <v>0</v>
      </c>
      <c r="BI33" s="66">
        <f t="shared" si="16"/>
        <v>0</v>
      </c>
      <c r="BJ33" s="66">
        <f t="shared" si="23"/>
        <v>0</v>
      </c>
      <c r="BK33" s="66">
        <f t="shared" si="23"/>
        <v>0</v>
      </c>
      <c r="BL33" s="66">
        <f t="shared" si="23"/>
        <v>0</v>
      </c>
      <c r="BM33" s="66">
        <f t="shared" si="23"/>
        <v>0</v>
      </c>
      <c r="BN33" s="66">
        <f t="shared" si="23"/>
        <v>0</v>
      </c>
      <c r="BO33" s="66">
        <f t="shared" si="23"/>
        <v>0</v>
      </c>
      <c r="BP33" s="66">
        <f t="shared" si="23"/>
        <v>0</v>
      </c>
      <c r="BQ33" s="66">
        <f t="shared" si="23"/>
        <v>0</v>
      </c>
      <c r="BR33" s="66">
        <f t="shared" si="23"/>
        <v>0</v>
      </c>
      <c r="BS33" s="66">
        <f t="shared" si="23"/>
        <v>0</v>
      </c>
      <c r="BT33" s="66">
        <f t="shared" si="23"/>
        <v>0</v>
      </c>
      <c r="BU33" s="66">
        <f t="shared" si="23"/>
        <v>0</v>
      </c>
      <c r="BV33" s="66">
        <f t="shared" si="23"/>
        <v>0</v>
      </c>
      <c r="BW33" s="66">
        <f t="shared" si="23"/>
        <v>0</v>
      </c>
      <c r="BX33" s="66">
        <f t="shared" si="23"/>
        <v>0</v>
      </c>
      <c r="BY33" s="66">
        <f t="shared" ref="BY33:BY39" si="30">AA33-AZ33</f>
        <v>0</v>
      </c>
      <c r="BZ33" s="66">
        <f t="shared" si="24"/>
        <v>0</v>
      </c>
      <c r="CA33" s="66"/>
      <c r="CB33" s="66">
        <f t="shared" si="25"/>
        <v>0</v>
      </c>
      <c r="CC33" s="22">
        <f t="shared" si="8"/>
        <v>0.97037478102189778</v>
      </c>
      <c r="CD33" s="66">
        <f t="shared" si="9"/>
        <v>79764807</v>
      </c>
      <c r="CE33" s="66"/>
      <c r="CF33" s="66">
        <f>+'[2]SEPTIEMBRE 2019'!$H$3444</f>
        <v>74364807</v>
      </c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Q33" s="66"/>
      <c r="CR33" s="66"/>
      <c r="CS33" s="66"/>
      <c r="CT33" s="66"/>
      <c r="CU33" s="66"/>
      <c r="CV33" s="66"/>
      <c r="CW33" s="66"/>
      <c r="CX33" s="66"/>
      <c r="CY33" s="66"/>
      <c r="CZ33" s="66"/>
      <c r="DA33" s="66">
        <f>+'[7]AGOSTO 2019'!$H$2972+'[7]AGOSTO 2019'!$H$2977+'[7]AGOSTO 2019'!$H$2983</f>
        <v>5400000</v>
      </c>
      <c r="DB33" s="22">
        <f t="shared" si="10"/>
        <v>2.9625218978102219E-2</v>
      </c>
      <c r="DC33" s="66">
        <f t="shared" si="11"/>
        <v>2435193</v>
      </c>
      <c r="DD33" s="66">
        <f t="shared" si="26"/>
        <v>0</v>
      </c>
      <c r="DE33" s="66">
        <f t="shared" si="26"/>
        <v>635193</v>
      </c>
      <c r="DF33" s="66">
        <f t="shared" si="26"/>
        <v>0</v>
      </c>
      <c r="DG33" s="66">
        <f t="shared" si="26"/>
        <v>0</v>
      </c>
      <c r="DH33" s="66">
        <f t="shared" si="26"/>
        <v>0</v>
      </c>
      <c r="DI33" s="66">
        <f t="shared" si="26"/>
        <v>0</v>
      </c>
      <c r="DJ33" s="66">
        <f t="shared" si="26"/>
        <v>0</v>
      </c>
      <c r="DK33" s="66">
        <f t="shared" si="26"/>
        <v>0</v>
      </c>
      <c r="DL33" s="66">
        <f t="shared" si="26"/>
        <v>0</v>
      </c>
      <c r="DM33" s="66">
        <f t="shared" si="26"/>
        <v>0</v>
      </c>
      <c r="DN33" s="66">
        <f t="shared" si="26"/>
        <v>0</v>
      </c>
      <c r="DO33" s="66">
        <f t="shared" si="26"/>
        <v>0</v>
      </c>
      <c r="DP33" s="66">
        <f t="shared" si="26"/>
        <v>0</v>
      </c>
      <c r="DQ33" s="66">
        <f t="shared" si="26"/>
        <v>0</v>
      </c>
      <c r="DR33" s="66">
        <f t="shared" si="26"/>
        <v>0</v>
      </c>
      <c r="DS33" s="66">
        <f t="shared" si="26"/>
        <v>0</v>
      </c>
      <c r="DT33" s="66">
        <f t="shared" si="27"/>
        <v>0</v>
      </c>
      <c r="DU33" s="66">
        <f t="shared" si="27"/>
        <v>0</v>
      </c>
      <c r="DV33" s="66">
        <f t="shared" si="27"/>
        <v>0</v>
      </c>
      <c r="DW33" s="66">
        <f t="shared" si="27"/>
        <v>0</v>
      </c>
      <c r="DX33" s="66">
        <f t="shared" si="27"/>
        <v>0</v>
      </c>
      <c r="DY33" s="66"/>
      <c r="DZ33" s="66">
        <f t="shared" si="28"/>
        <v>1800000</v>
      </c>
    </row>
    <row r="34" spans="1:135" ht="22.8" hidden="1" customHeight="1" x14ac:dyDescent="0.3">
      <c r="A34" s="128"/>
      <c r="B34" s="238" t="s">
        <v>299</v>
      </c>
      <c r="C34" s="121" t="s">
        <v>298</v>
      </c>
      <c r="D34" s="71" t="s">
        <v>297</v>
      </c>
      <c r="E34" s="124">
        <v>510</v>
      </c>
      <c r="F34" s="67" t="s">
        <v>283</v>
      </c>
      <c r="G34" s="66">
        <f t="shared" si="0"/>
        <v>5000000</v>
      </c>
      <c r="H34" s="66"/>
      <c r="I34" s="66">
        <f>12000000-7000000</f>
        <v>5000000</v>
      </c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>
        <f>7000000-7000000</f>
        <v>0</v>
      </c>
      <c r="Z34" s="66"/>
      <c r="AA34" s="66"/>
      <c r="AB34" s="66"/>
      <c r="AC34" s="66"/>
      <c r="AD34" s="66"/>
      <c r="AE34" s="22">
        <f t="shared" si="29"/>
        <v>1</v>
      </c>
      <c r="AF34" s="66">
        <f t="shared" si="21"/>
        <v>5000000</v>
      </c>
      <c r="AG34" s="66"/>
      <c r="AH34" s="66">
        <f>+'[2]SEPTIEMBRE 2019'!$K$3496</f>
        <v>5000000</v>
      </c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66"/>
      <c r="BC34" s="66"/>
      <c r="BD34" s="22">
        <f t="shared" si="3"/>
        <v>0</v>
      </c>
      <c r="BE34" s="66">
        <f t="shared" si="4"/>
        <v>0</v>
      </c>
      <c r="BF34" s="66">
        <f t="shared" si="22"/>
        <v>0</v>
      </c>
      <c r="BG34" s="66">
        <f t="shared" si="22"/>
        <v>0</v>
      </c>
      <c r="BH34" s="66">
        <f t="shared" si="22"/>
        <v>0</v>
      </c>
      <c r="BI34" s="66">
        <f t="shared" si="16"/>
        <v>0</v>
      </c>
      <c r="BJ34" s="66">
        <f t="shared" ref="BJ34:BX39" si="31">L34-AK34</f>
        <v>0</v>
      </c>
      <c r="BK34" s="66">
        <f t="shared" si="31"/>
        <v>0</v>
      </c>
      <c r="BL34" s="66">
        <f t="shared" si="31"/>
        <v>0</v>
      </c>
      <c r="BM34" s="66">
        <f t="shared" si="31"/>
        <v>0</v>
      </c>
      <c r="BN34" s="66">
        <f t="shared" si="31"/>
        <v>0</v>
      </c>
      <c r="BO34" s="66">
        <f t="shared" si="31"/>
        <v>0</v>
      </c>
      <c r="BP34" s="66">
        <f t="shared" si="31"/>
        <v>0</v>
      </c>
      <c r="BQ34" s="66">
        <f t="shared" si="31"/>
        <v>0</v>
      </c>
      <c r="BR34" s="66">
        <f t="shared" si="31"/>
        <v>0</v>
      </c>
      <c r="BS34" s="66">
        <f t="shared" si="31"/>
        <v>0</v>
      </c>
      <c r="BT34" s="66">
        <f t="shared" si="31"/>
        <v>0</v>
      </c>
      <c r="BU34" s="66">
        <f t="shared" si="31"/>
        <v>0</v>
      </c>
      <c r="BV34" s="66">
        <f t="shared" si="31"/>
        <v>0</v>
      </c>
      <c r="BW34" s="66">
        <f t="shared" si="31"/>
        <v>0</v>
      </c>
      <c r="BX34" s="66">
        <f t="shared" si="31"/>
        <v>0</v>
      </c>
      <c r="BY34" s="66">
        <f t="shared" si="30"/>
        <v>0</v>
      </c>
      <c r="BZ34" s="66">
        <f t="shared" si="24"/>
        <v>0</v>
      </c>
      <c r="CA34" s="66"/>
      <c r="CB34" s="66">
        <f t="shared" si="25"/>
        <v>0</v>
      </c>
      <c r="CC34" s="22">
        <f t="shared" si="8"/>
        <v>0.76508600000000004</v>
      </c>
      <c r="CD34" s="66">
        <f t="shared" si="9"/>
        <v>3825430</v>
      </c>
      <c r="CE34" s="66"/>
      <c r="CF34" s="66">
        <f>+'[1]OCTUBRE 2019'!$H$3905</f>
        <v>3825430</v>
      </c>
      <c r="CG34" s="66"/>
      <c r="CH34" s="66"/>
      <c r="CI34" s="66"/>
      <c r="CJ34" s="66"/>
      <c r="CK34" s="66"/>
      <c r="CL34" s="66"/>
      <c r="CM34" s="66"/>
      <c r="CN34" s="66"/>
      <c r="CO34" s="66"/>
      <c r="CP34" s="66"/>
      <c r="CQ34" s="66"/>
      <c r="CR34" s="66"/>
      <c r="CS34" s="66"/>
      <c r="CT34" s="66"/>
      <c r="CU34" s="66"/>
      <c r="CV34" s="66"/>
      <c r="CW34" s="66"/>
      <c r="CX34" s="66"/>
      <c r="CY34" s="66"/>
      <c r="CZ34" s="66"/>
      <c r="DA34" s="66"/>
      <c r="DB34" s="22">
        <f t="shared" si="10"/>
        <v>0.23491399999999996</v>
      </c>
      <c r="DC34" s="66">
        <f t="shared" si="11"/>
        <v>1174570</v>
      </c>
      <c r="DD34" s="66">
        <f t="shared" si="26"/>
        <v>0</v>
      </c>
      <c r="DE34" s="66">
        <f t="shared" si="26"/>
        <v>1174570</v>
      </c>
      <c r="DF34" s="66">
        <f t="shared" si="26"/>
        <v>0</v>
      </c>
      <c r="DG34" s="66">
        <f t="shared" si="26"/>
        <v>0</v>
      </c>
      <c r="DH34" s="66">
        <f t="shared" si="26"/>
        <v>0</v>
      </c>
      <c r="DI34" s="66">
        <f t="shared" si="26"/>
        <v>0</v>
      </c>
      <c r="DJ34" s="66">
        <f t="shared" si="26"/>
        <v>0</v>
      </c>
      <c r="DK34" s="66">
        <f t="shared" si="26"/>
        <v>0</v>
      </c>
      <c r="DL34" s="66">
        <f t="shared" si="26"/>
        <v>0</v>
      </c>
      <c r="DM34" s="66">
        <f t="shared" si="26"/>
        <v>0</v>
      </c>
      <c r="DN34" s="66">
        <f t="shared" si="26"/>
        <v>0</v>
      </c>
      <c r="DO34" s="66">
        <f t="shared" si="26"/>
        <v>0</v>
      </c>
      <c r="DP34" s="66">
        <f t="shared" si="26"/>
        <v>0</v>
      </c>
      <c r="DQ34" s="66">
        <f t="shared" si="26"/>
        <v>0</v>
      </c>
      <c r="DR34" s="66">
        <f t="shared" si="26"/>
        <v>0</v>
      </c>
      <c r="DS34" s="66">
        <f t="shared" si="26"/>
        <v>0</v>
      </c>
      <c r="DT34" s="66">
        <f t="shared" si="27"/>
        <v>0</v>
      </c>
      <c r="DU34" s="66">
        <f t="shared" si="27"/>
        <v>0</v>
      </c>
      <c r="DV34" s="66">
        <f t="shared" si="27"/>
        <v>0</v>
      </c>
      <c r="DW34" s="66">
        <f t="shared" si="27"/>
        <v>0</v>
      </c>
      <c r="DX34" s="66">
        <f t="shared" si="27"/>
        <v>0</v>
      </c>
      <c r="DY34" s="66"/>
      <c r="DZ34" s="66">
        <f t="shared" si="28"/>
        <v>0</v>
      </c>
    </row>
    <row r="35" spans="1:135" ht="19.2" hidden="1" customHeight="1" x14ac:dyDescent="0.3">
      <c r="A35" s="128"/>
      <c r="B35" s="239"/>
      <c r="C35" s="121" t="s">
        <v>296</v>
      </c>
      <c r="D35" s="71" t="s">
        <v>295</v>
      </c>
      <c r="E35" s="124">
        <v>510</v>
      </c>
      <c r="F35" s="67" t="s">
        <v>294</v>
      </c>
      <c r="G35" s="66">
        <f t="shared" si="0"/>
        <v>136500000</v>
      </c>
      <c r="H35" s="66"/>
      <c r="I35" s="66">
        <f>25000000+7000000</f>
        <v>32000000</v>
      </c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>
        <v>25000000</v>
      </c>
      <c r="Y35" s="66">
        <f>18000000+7000000</f>
        <v>25000000</v>
      </c>
      <c r="Z35" s="66"/>
      <c r="AA35" s="66"/>
      <c r="AB35" s="66"/>
      <c r="AC35" s="66"/>
      <c r="AD35" s="66">
        <f>34000000+20000000+500000</f>
        <v>54500000</v>
      </c>
      <c r="AE35" s="22">
        <f t="shared" si="29"/>
        <v>0.87743736263736261</v>
      </c>
      <c r="AF35" s="66">
        <f t="shared" si="21"/>
        <v>119770200</v>
      </c>
      <c r="AG35" s="66"/>
      <c r="AH35" s="66">
        <f>+'[1]OCTUBRE 2019'!$K$3914</f>
        <v>31920200</v>
      </c>
      <c r="AI35" s="66"/>
      <c r="AJ35" s="66"/>
      <c r="AK35" s="66"/>
      <c r="AL35" s="66"/>
      <c r="AM35" s="66"/>
      <c r="AN35" s="66"/>
      <c r="AO35" s="66"/>
      <c r="AP35" s="66"/>
      <c r="AQ35" s="66"/>
      <c r="AR35" s="66"/>
      <c r="AS35" s="66"/>
      <c r="AT35" s="66"/>
      <c r="AU35" s="66"/>
      <c r="AV35" s="66"/>
      <c r="AW35" s="66">
        <f>+'[3]JULIO 2019'!$Y$2648</f>
        <v>25000000</v>
      </c>
      <c r="AX35" s="66">
        <f>+'[1]OCTUBRE 2019'!$AA$3914</f>
        <v>21500000</v>
      </c>
      <c r="AY35" s="66"/>
      <c r="AZ35" s="66"/>
      <c r="BA35" s="66"/>
      <c r="BB35" s="66"/>
      <c r="BC35" s="66">
        <f>+'[1]OCTUBRE 2019'!$AG$3914</f>
        <v>41350000</v>
      </c>
      <c r="BD35" s="22">
        <f t="shared" si="3"/>
        <v>0.12256263736263739</v>
      </c>
      <c r="BE35" s="66">
        <f t="shared" si="4"/>
        <v>16729800</v>
      </c>
      <c r="BF35" s="66">
        <f t="shared" si="22"/>
        <v>0</v>
      </c>
      <c r="BG35" s="66">
        <f t="shared" si="22"/>
        <v>79800</v>
      </c>
      <c r="BH35" s="66">
        <f t="shared" si="22"/>
        <v>0</v>
      </c>
      <c r="BI35" s="66">
        <f t="shared" si="16"/>
        <v>0</v>
      </c>
      <c r="BJ35" s="66">
        <f t="shared" si="31"/>
        <v>0</v>
      </c>
      <c r="BK35" s="66">
        <f t="shared" si="31"/>
        <v>0</v>
      </c>
      <c r="BL35" s="66">
        <f t="shared" si="31"/>
        <v>0</v>
      </c>
      <c r="BM35" s="66">
        <f t="shared" si="31"/>
        <v>0</v>
      </c>
      <c r="BN35" s="66">
        <f t="shared" si="31"/>
        <v>0</v>
      </c>
      <c r="BO35" s="66">
        <f t="shared" si="31"/>
        <v>0</v>
      </c>
      <c r="BP35" s="66">
        <f t="shared" si="31"/>
        <v>0</v>
      </c>
      <c r="BQ35" s="66">
        <f t="shared" si="31"/>
        <v>0</v>
      </c>
      <c r="BR35" s="66">
        <f t="shared" si="31"/>
        <v>0</v>
      </c>
      <c r="BS35" s="66">
        <f t="shared" si="31"/>
        <v>0</v>
      </c>
      <c r="BT35" s="66">
        <f t="shared" si="31"/>
        <v>0</v>
      </c>
      <c r="BU35" s="66">
        <f t="shared" si="31"/>
        <v>0</v>
      </c>
      <c r="BV35" s="66">
        <f t="shared" si="31"/>
        <v>0</v>
      </c>
      <c r="BW35" s="66">
        <f t="shared" si="31"/>
        <v>3500000</v>
      </c>
      <c r="BX35" s="66">
        <f t="shared" si="31"/>
        <v>0</v>
      </c>
      <c r="BY35" s="66">
        <f t="shared" si="30"/>
        <v>0</v>
      </c>
      <c r="BZ35" s="66">
        <f t="shared" si="24"/>
        <v>0</v>
      </c>
      <c r="CA35" s="66"/>
      <c r="CB35" s="66">
        <f t="shared" si="25"/>
        <v>13150000</v>
      </c>
      <c r="CC35" s="22">
        <f t="shared" si="8"/>
        <v>0.72264291575091577</v>
      </c>
      <c r="CD35" s="66">
        <f t="shared" si="9"/>
        <v>98640758</v>
      </c>
      <c r="CE35" s="66"/>
      <c r="CF35" s="66">
        <f>+'[7]AGOSTO 2019'!$H$3005+'[7]AGOSTO 2019'!$H$3017+'[7]AGOSTO 2019'!$H$3019+'[7]AGOSTO 2019'!$H$3020+'[7]AGOSTO 2019'!$H$3021+'[7]AGOSTO 2019'!$H$3028</f>
        <v>31920200</v>
      </c>
      <c r="CG35" s="66"/>
      <c r="CH35" s="66"/>
      <c r="CI35" s="66"/>
      <c r="CJ35" s="66"/>
      <c r="CK35" s="66"/>
      <c r="CL35" s="66"/>
      <c r="CM35" s="66"/>
      <c r="CN35" s="66"/>
      <c r="CO35" s="66"/>
      <c r="CP35" s="66"/>
      <c r="CQ35" s="66"/>
      <c r="CR35" s="66"/>
      <c r="CS35" s="66"/>
      <c r="CT35" s="66"/>
      <c r="CU35" s="66">
        <f>+'[1]OCTUBRE 2019'!$H$3941+'[1]OCTUBRE 2019'!$Z$3946</f>
        <v>22040558</v>
      </c>
      <c r="CV35" s="66">
        <f>+'[1]OCTUBRE 2019'!$AA$3946-'[1]OCTUBRE 2019'!$I$3946+'[1]OCTUBRE 2019'!$H$3950+'[1]OCTUBRE 2019'!$H$3953</f>
        <v>11200000</v>
      </c>
      <c r="CW35" s="66"/>
      <c r="CX35" s="66"/>
      <c r="CY35" s="66"/>
      <c r="CZ35" s="66"/>
      <c r="DA35" s="66">
        <f>+'[1]OCTUBRE 2019'!$H$3912-CV35-CU35-CF35</f>
        <v>33480000</v>
      </c>
      <c r="DB35" s="22">
        <f t="shared" si="10"/>
        <v>0.27735708424908423</v>
      </c>
      <c r="DC35" s="66">
        <f t="shared" si="11"/>
        <v>37859242</v>
      </c>
      <c r="DD35" s="66">
        <f t="shared" si="26"/>
        <v>0</v>
      </c>
      <c r="DE35" s="66">
        <f t="shared" si="26"/>
        <v>79800</v>
      </c>
      <c r="DF35" s="66">
        <f t="shared" si="26"/>
        <v>0</v>
      </c>
      <c r="DG35" s="66">
        <f t="shared" si="26"/>
        <v>0</v>
      </c>
      <c r="DH35" s="66">
        <f t="shared" si="26"/>
        <v>0</v>
      </c>
      <c r="DI35" s="66">
        <f t="shared" si="26"/>
        <v>0</v>
      </c>
      <c r="DJ35" s="66">
        <f t="shared" si="26"/>
        <v>0</v>
      </c>
      <c r="DK35" s="66">
        <f t="shared" si="26"/>
        <v>0</v>
      </c>
      <c r="DL35" s="66">
        <f t="shared" si="26"/>
        <v>0</v>
      </c>
      <c r="DM35" s="66">
        <f t="shared" si="26"/>
        <v>0</v>
      </c>
      <c r="DN35" s="66">
        <f t="shared" si="26"/>
        <v>0</v>
      </c>
      <c r="DO35" s="66">
        <f t="shared" si="26"/>
        <v>0</v>
      </c>
      <c r="DP35" s="66">
        <f t="shared" si="26"/>
        <v>0</v>
      </c>
      <c r="DQ35" s="66">
        <f t="shared" si="26"/>
        <v>0</v>
      </c>
      <c r="DR35" s="66">
        <f t="shared" si="26"/>
        <v>0</v>
      </c>
      <c r="DS35" s="66">
        <f t="shared" si="26"/>
        <v>0</v>
      </c>
      <c r="DT35" s="66">
        <f t="shared" si="27"/>
        <v>2959442</v>
      </c>
      <c r="DU35" s="66">
        <f t="shared" si="27"/>
        <v>13800000</v>
      </c>
      <c r="DV35" s="66">
        <f t="shared" si="27"/>
        <v>0</v>
      </c>
      <c r="DW35" s="66">
        <f t="shared" si="27"/>
        <v>0</v>
      </c>
      <c r="DX35" s="66">
        <f t="shared" si="27"/>
        <v>0</v>
      </c>
      <c r="DY35" s="66"/>
      <c r="DZ35" s="66">
        <f t="shared" si="28"/>
        <v>21020000</v>
      </c>
    </row>
    <row r="36" spans="1:135" ht="21.6" hidden="1" customHeight="1" x14ac:dyDescent="0.3">
      <c r="A36" s="128"/>
      <c r="B36" s="242" t="s">
        <v>293</v>
      </c>
      <c r="C36" s="121" t="s">
        <v>292</v>
      </c>
      <c r="D36" s="71" t="s">
        <v>291</v>
      </c>
      <c r="E36" s="124">
        <v>211</v>
      </c>
      <c r="F36" s="67" t="s">
        <v>290</v>
      </c>
      <c r="G36" s="66">
        <f t="shared" si="0"/>
        <v>1014978084</v>
      </c>
      <c r="H36" s="66"/>
      <c r="I36" s="66"/>
      <c r="J36" s="66"/>
      <c r="K36" s="66"/>
      <c r="L36" s="66"/>
      <c r="M36" s="66"/>
      <c r="N36" s="66">
        <v>244096406</v>
      </c>
      <c r="O36" s="66">
        <v>300000000</v>
      </c>
      <c r="P36" s="66">
        <f>20000000+30000000</f>
        <v>50000000</v>
      </c>
      <c r="Q36" s="66"/>
      <c r="R36" s="66">
        <v>40000000</v>
      </c>
      <c r="S36" s="66"/>
      <c r="T36" s="66"/>
      <c r="U36" s="66">
        <f>40000000+11586236</f>
        <v>51586236</v>
      </c>
      <c r="V36" s="66"/>
      <c r="W36" s="66">
        <v>30000000</v>
      </c>
      <c r="X36" s="66"/>
      <c r="Y36" s="66"/>
      <c r="Z36" s="66"/>
      <c r="AA36" s="66"/>
      <c r="AB36" s="66"/>
      <c r="AC36" s="66"/>
      <c r="AD36" s="66">
        <f>181433693+21979601+51331966+5478895+35000000+4071287</f>
        <v>299295442</v>
      </c>
      <c r="AE36" s="22">
        <f t="shared" si="29"/>
        <v>0.7868968006209679</v>
      </c>
      <c r="AF36" s="66">
        <f t="shared" si="21"/>
        <v>798683007</v>
      </c>
      <c r="AG36" s="66"/>
      <c r="AH36" s="66"/>
      <c r="AI36" s="66"/>
      <c r="AJ36" s="66"/>
      <c r="AK36" s="66"/>
      <c r="AL36" s="66"/>
      <c r="AM36" s="66">
        <f>+'[7]AGOSTO 2019'!$O$333</f>
        <v>236438964</v>
      </c>
      <c r="AN36" s="66">
        <f>+'[5]MARZO 2019'!$P$138</f>
        <v>300000000</v>
      </c>
      <c r="AO36" s="66"/>
      <c r="AP36" s="66"/>
      <c r="AQ36" s="66"/>
      <c r="AR36" s="66"/>
      <c r="AS36" s="66"/>
      <c r="AT36" s="66"/>
      <c r="AU36" s="66"/>
      <c r="AV36" s="66">
        <f>+'[2]SEPTIEMBRE 2019'!$Y$443</f>
        <v>30000000</v>
      </c>
      <c r="AW36" s="66"/>
      <c r="AX36" s="66"/>
      <c r="AY36" s="66"/>
      <c r="AZ36" s="66"/>
      <c r="BA36" s="66"/>
      <c r="BB36" s="66"/>
      <c r="BC36" s="66">
        <f>+'[2]SEPTIEMBRE 2019'!$AG$443</f>
        <v>232244043</v>
      </c>
      <c r="BD36" s="22">
        <f t="shared" si="3"/>
        <v>0.2131031993790321</v>
      </c>
      <c r="BE36" s="66">
        <f t="shared" si="4"/>
        <v>216295077</v>
      </c>
      <c r="BF36" s="66">
        <f t="shared" si="22"/>
        <v>0</v>
      </c>
      <c r="BG36" s="66">
        <f t="shared" si="22"/>
        <v>0</v>
      </c>
      <c r="BH36" s="66">
        <f t="shared" si="22"/>
        <v>0</v>
      </c>
      <c r="BI36" s="66">
        <f t="shared" si="16"/>
        <v>0</v>
      </c>
      <c r="BJ36" s="66">
        <f t="shared" si="31"/>
        <v>0</v>
      </c>
      <c r="BK36" s="66">
        <f t="shared" si="31"/>
        <v>0</v>
      </c>
      <c r="BL36" s="66">
        <f t="shared" si="31"/>
        <v>7657442</v>
      </c>
      <c r="BM36" s="66">
        <f t="shared" si="31"/>
        <v>0</v>
      </c>
      <c r="BN36" s="66">
        <f t="shared" si="31"/>
        <v>50000000</v>
      </c>
      <c r="BO36" s="66">
        <f t="shared" si="31"/>
        <v>0</v>
      </c>
      <c r="BP36" s="66">
        <f t="shared" si="31"/>
        <v>40000000</v>
      </c>
      <c r="BQ36" s="66">
        <f t="shared" si="31"/>
        <v>0</v>
      </c>
      <c r="BR36" s="66">
        <f t="shared" si="31"/>
        <v>0</v>
      </c>
      <c r="BS36" s="66">
        <f t="shared" si="31"/>
        <v>51586236</v>
      </c>
      <c r="BT36" s="66">
        <f t="shared" si="31"/>
        <v>0</v>
      </c>
      <c r="BU36" s="66">
        <f t="shared" si="31"/>
        <v>0</v>
      </c>
      <c r="BV36" s="66">
        <f t="shared" si="31"/>
        <v>0</v>
      </c>
      <c r="BW36" s="66">
        <f t="shared" si="31"/>
        <v>0</v>
      </c>
      <c r="BX36" s="66">
        <f t="shared" si="31"/>
        <v>0</v>
      </c>
      <c r="BY36" s="66">
        <f t="shared" si="30"/>
        <v>0</v>
      </c>
      <c r="BZ36" s="66">
        <f t="shared" si="24"/>
        <v>0</v>
      </c>
      <c r="CA36" s="66"/>
      <c r="CB36" s="66">
        <f t="shared" si="25"/>
        <v>67051399</v>
      </c>
      <c r="CC36" s="22">
        <f t="shared" si="8"/>
        <v>0.61991022655421202</v>
      </c>
      <c r="CD36" s="66">
        <f t="shared" si="9"/>
        <v>629195294</v>
      </c>
      <c r="CE36" s="66"/>
      <c r="CF36" s="66"/>
      <c r="CG36" s="66"/>
      <c r="CH36" s="66"/>
      <c r="CI36" s="66"/>
      <c r="CJ36" s="66"/>
      <c r="CK36" s="66">
        <f>+'[10]ABRIL 2019'!$H$161+'[1]OCTUBRE 2019'!$H$533</f>
        <v>236438964</v>
      </c>
      <c r="CL36" s="66">
        <f>+'[10]ABRIL 2019'!$H$163</f>
        <v>300000000</v>
      </c>
      <c r="CM36" s="66"/>
      <c r="CN36" s="66"/>
      <c r="CO36" s="66"/>
      <c r="CP36" s="66"/>
      <c r="CQ36" s="66"/>
      <c r="CR36" s="66"/>
      <c r="CS36" s="66"/>
      <c r="CT36" s="66">
        <f>+'[4]JUNIO 2019'!$H$235</f>
        <v>27384000</v>
      </c>
      <c r="CU36" s="66"/>
      <c r="CV36" s="66"/>
      <c r="CW36" s="66"/>
      <c r="CX36" s="66"/>
      <c r="CY36" s="66"/>
      <c r="CZ36" s="66"/>
      <c r="DA36" s="66">
        <f>+'[1]OCTUBRE 2019'!$H$501+'[1]OCTUBRE 2019'!$H$510+'[1]OCTUBRE 2019'!$H$513+'[1]OCTUBRE 2019'!$H$519+'[1]OCTUBRE 2019'!$H$522+'[1]OCTUBRE 2019'!$H$525+'[1]OCTUBRE 2019'!$H$530+'[1]OCTUBRE 2019'!$H$536+'[1]OCTUBRE 2019'!$H$542</f>
        <v>65372330</v>
      </c>
      <c r="DB36" s="22">
        <f t="shared" si="10"/>
        <v>0.38008977344578798</v>
      </c>
      <c r="DC36" s="66">
        <f t="shared" si="11"/>
        <v>385782790</v>
      </c>
      <c r="DD36" s="66">
        <f t="shared" si="26"/>
        <v>0</v>
      </c>
      <c r="DE36" s="66">
        <f t="shared" si="26"/>
        <v>0</v>
      </c>
      <c r="DF36" s="66">
        <f t="shared" si="26"/>
        <v>0</v>
      </c>
      <c r="DG36" s="66">
        <f t="shared" si="26"/>
        <v>0</v>
      </c>
      <c r="DH36" s="66">
        <f t="shared" si="26"/>
        <v>0</v>
      </c>
      <c r="DI36" s="66">
        <f t="shared" si="26"/>
        <v>0</v>
      </c>
      <c r="DJ36" s="66">
        <f t="shared" ref="DJ36:DS39" si="32">N36-CK36</f>
        <v>7657442</v>
      </c>
      <c r="DK36" s="66">
        <f t="shared" si="32"/>
        <v>0</v>
      </c>
      <c r="DL36" s="66">
        <f t="shared" si="32"/>
        <v>50000000</v>
      </c>
      <c r="DM36" s="66">
        <f t="shared" si="32"/>
        <v>0</v>
      </c>
      <c r="DN36" s="66">
        <f t="shared" si="32"/>
        <v>40000000</v>
      </c>
      <c r="DO36" s="66">
        <f t="shared" si="32"/>
        <v>0</v>
      </c>
      <c r="DP36" s="66">
        <f t="shared" si="32"/>
        <v>0</v>
      </c>
      <c r="DQ36" s="66">
        <f t="shared" si="32"/>
        <v>51586236</v>
      </c>
      <c r="DR36" s="66">
        <f t="shared" si="32"/>
        <v>0</v>
      </c>
      <c r="DS36" s="66">
        <f t="shared" si="32"/>
        <v>2616000</v>
      </c>
      <c r="DT36" s="66">
        <f t="shared" si="27"/>
        <v>0</v>
      </c>
      <c r="DU36" s="66">
        <f t="shared" si="27"/>
        <v>0</v>
      </c>
      <c r="DV36" s="66">
        <f t="shared" si="27"/>
        <v>0</v>
      </c>
      <c r="DW36" s="66">
        <f t="shared" si="27"/>
        <v>0</v>
      </c>
      <c r="DX36" s="66">
        <f t="shared" si="27"/>
        <v>0</v>
      </c>
      <c r="DY36" s="66"/>
      <c r="DZ36" s="66">
        <f t="shared" si="28"/>
        <v>233923112</v>
      </c>
    </row>
    <row r="37" spans="1:135" ht="60" hidden="1" customHeight="1" x14ac:dyDescent="0.3">
      <c r="A37" s="128"/>
      <c r="B37" s="242"/>
      <c r="C37" s="121" t="s">
        <v>289</v>
      </c>
      <c r="D37" s="71" t="s">
        <v>288</v>
      </c>
      <c r="E37" s="124">
        <v>510</v>
      </c>
      <c r="F37" s="67" t="s">
        <v>283</v>
      </c>
      <c r="G37" s="66">
        <f t="shared" si="0"/>
        <v>5000000</v>
      </c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>
        <v>5000000</v>
      </c>
      <c r="Y37" s="66"/>
      <c r="Z37" s="66"/>
      <c r="AA37" s="66"/>
      <c r="AB37" s="66"/>
      <c r="AC37" s="66"/>
      <c r="AD37" s="66"/>
      <c r="AE37" s="22">
        <f t="shared" si="29"/>
        <v>1</v>
      </c>
      <c r="AF37" s="66">
        <f t="shared" si="21"/>
        <v>5000000</v>
      </c>
      <c r="AG37" s="66"/>
      <c r="AH37" s="66"/>
      <c r="AI37" s="66"/>
      <c r="AJ37" s="66"/>
      <c r="AK37" s="66"/>
      <c r="AL37" s="66"/>
      <c r="AM37" s="66"/>
      <c r="AN37" s="66"/>
      <c r="AO37" s="66"/>
      <c r="AP37" s="66"/>
      <c r="AQ37" s="66"/>
      <c r="AR37" s="66"/>
      <c r="AS37" s="66"/>
      <c r="AT37" s="66"/>
      <c r="AU37" s="66"/>
      <c r="AV37" s="66"/>
      <c r="AW37" s="66">
        <f>+'[7]AGOSTO 2019'!$Y$3052</f>
        <v>5000000</v>
      </c>
      <c r="AX37" s="66"/>
      <c r="AY37" s="66"/>
      <c r="AZ37" s="66"/>
      <c r="BA37" s="66"/>
      <c r="BB37" s="66"/>
      <c r="BC37" s="66"/>
      <c r="BD37" s="22">
        <f t="shared" si="3"/>
        <v>0</v>
      </c>
      <c r="BE37" s="66">
        <f t="shared" si="4"/>
        <v>0</v>
      </c>
      <c r="BF37" s="66">
        <f t="shared" si="22"/>
        <v>0</v>
      </c>
      <c r="BG37" s="66">
        <f t="shared" si="22"/>
        <v>0</v>
      </c>
      <c r="BH37" s="66">
        <f t="shared" si="22"/>
        <v>0</v>
      </c>
      <c r="BI37" s="66">
        <f t="shared" si="16"/>
        <v>0</v>
      </c>
      <c r="BJ37" s="66">
        <f t="shared" si="31"/>
        <v>0</v>
      </c>
      <c r="BK37" s="66">
        <f t="shared" si="31"/>
        <v>0</v>
      </c>
      <c r="BL37" s="66">
        <f t="shared" si="31"/>
        <v>0</v>
      </c>
      <c r="BM37" s="66">
        <f t="shared" si="31"/>
        <v>0</v>
      </c>
      <c r="BN37" s="66">
        <f t="shared" si="31"/>
        <v>0</v>
      </c>
      <c r="BO37" s="66">
        <f t="shared" si="31"/>
        <v>0</v>
      </c>
      <c r="BP37" s="66">
        <f t="shared" si="31"/>
        <v>0</v>
      </c>
      <c r="BQ37" s="66">
        <f t="shared" si="31"/>
        <v>0</v>
      </c>
      <c r="BR37" s="66">
        <f t="shared" si="31"/>
        <v>0</v>
      </c>
      <c r="BS37" s="66">
        <f t="shared" si="31"/>
        <v>0</v>
      </c>
      <c r="BT37" s="66">
        <f t="shared" si="31"/>
        <v>0</v>
      </c>
      <c r="BU37" s="66">
        <f t="shared" si="31"/>
        <v>0</v>
      </c>
      <c r="BV37" s="66">
        <f t="shared" si="31"/>
        <v>0</v>
      </c>
      <c r="BW37" s="66">
        <f t="shared" si="31"/>
        <v>0</v>
      </c>
      <c r="BX37" s="66">
        <f t="shared" si="31"/>
        <v>0</v>
      </c>
      <c r="BY37" s="66">
        <f t="shared" si="30"/>
        <v>0</v>
      </c>
      <c r="BZ37" s="66">
        <f t="shared" si="24"/>
        <v>0</v>
      </c>
      <c r="CA37" s="66"/>
      <c r="CB37" s="66">
        <f t="shared" si="25"/>
        <v>0</v>
      </c>
      <c r="CC37" s="22">
        <f t="shared" si="8"/>
        <v>0</v>
      </c>
      <c r="CD37" s="66">
        <f t="shared" si="9"/>
        <v>0</v>
      </c>
      <c r="CE37" s="66"/>
      <c r="CF37" s="66"/>
      <c r="CG37" s="66"/>
      <c r="CH37" s="66"/>
      <c r="CI37" s="66"/>
      <c r="CJ37" s="66"/>
      <c r="CK37" s="66"/>
      <c r="CL37" s="66"/>
      <c r="CM37" s="66"/>
      <c r="CN37" s="66"/>
      <c r="CO37" s="66"/>
      <c r="CP37" s="66"/>
      <c r="CQ37" s="66"/>
      <c r="CR37" s="66"/>
      <c r="CS37" s="66"/>
      <c r="CT37" s="66"/>
      <c r="CU37" s="66"/>
      <c r="CV37" s="66"/>
      <c r="CW37" s="66"/>
      <c r="CX37" s="66"/>
      <c r="CY37" s="66"/>
      <c r="CZ37" s="66"/>
      <c r="DA37" s="66"/>
      <c r="DB37" s="22">
        <f t="shared" si="10"/>
        <v>1</v>
      </c>
      <c r="DC37" s="66">
        <f t="shared" si="11"/>
        <v>5000000</v>
      </c>
      <c r="DD37" s="66">
        <f t="shared" ref="DD37:DI39" si="33">H37-CE37</f>
        <v>0</v>
      </c>
      <c r="DE37" s="66">
        <f t="shared" si="33"/>
        <v>0</v>
      </c>
      <c r="DF37" s="66">
        <f t="shared" si="33"/>
        <v>0</v>
      </c>
      <c r="DG37" s="66">
        <f t="shared" si="33"/>
        <v>0</v>
      </c>
      <c r="DH37" s="66">
        <f t="shared" si="33"/>
        <v>0</v>
      </c>
      <c r="DI37" s="66">
        <f t="shared" si="33"/>
        <v>0</v>
      </c>
      <c r="DJ37" s="66">
        <f t="shared" si="32"/>
        <v>0</v>
      </c>
      <c r="DK37" s="66">
        <f t="shared" si="32"/>
        <v>0</v>
      </c>
      <c r="DL37" s="66">
        <f t="shared" si="32"/>
        <v>0</v>
      </c>
      <c r="DM37" s="66">
        <f t="shared" si="32"/>
        <v>0</v>
      </c>
      <c r="DN37" s="66">
        <f t="shared" si="32"/>
        <v>0</v>
      </c>
      <c r="DO37" s="66">
        <f t="shared" si="32"/>
        <v>0</v>
      </c>
      <c r="DP37" s="66">
        <f t="shared" si="32"/>
        <v>0</v>
      </c>
      <c r="DQ37" s="66">
        <f t="shared" si="32"/>
        <v>0</v>
      </c>
      <c r="DR37" s="66">
        <f t="shared" si="32"/>
        <v>0</v>
      </c>
      <c r="DS37" s="66">
        <f t="shared" si="32"/>
        <v>0</v>
      </c>
      <c r="DT37" s="66">
        <f t="shared" si="27"/>
        <v>5000000</v>
      </c>
      <c r="DU37" s="66">
        <f t="shared" si="27"/>
        <v>0</v>
      </c>
      <c r="DV37" s="66">
        <f t="shared" si="27"/>
        <v>0</v>
      </c>
      <c r="DW37" s="66">
        <f t="shared" si="27"/>
        <v>0</v>
      </c>
      <c r="DX37" s="66">
        <f t="shared" si="27"/>
        <v>0</v>
      </c>
      <c r="DY37" s="66"/>
      <c r="DZ37" s="66">
        <f t="shared" si="28"/>
        <v>0</v>
      </c>
    </row>
    <row r="38" spans="1:135" ht="26.4" hidden="1" customHeight="1" x14ac:dyDescent="0.3">
      <c r="A38" s="128"/>
      <c r="B38" s="242"/>
      <c r="C38" s="121" t="s">
        <v>287</v>
      </c>
      <c r="D38" s="71" t="s">
        <v>286</v>
      </c>
      <c r="E38" s="124">
        <v>510</v>
      </c>
      <c r="F38" s="67" t="s">
        <v>283</v>
      </c>
      <c r="G38" s="66">
        <f t="shared" si="0"/>
        <v>5000000</v>
      </c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>
        <v>5000000</v>
      </c>
      <c r="Y38" s="66"/>
      <c r="Z38" s="66"/>
      <c r="AA38" s="66"/>
      <c r="AB38" s="66"/>
      <c r="AC38" s="66"/>
      <c r="AD38" s="66"/>
      <c r="AE38" s="22">
        <f t="shared" si="29"/>
        <v>1</v>
      </c>
      <c r="AF38" s="66">
        <f t="shared" si="21"/>
        <v>5000000</v>
      </c>
      <c r="AG38" s="66"/>
      <c r="AH38" s="66"/>
      <c r="AI38" s="66"/>
      <c r="AJ38" s="66"/>
      <c r="AK38" s="66"/>
      <c r="AL38" s="66"/>
      <c r="AM38" s="66"/>
      <c r="AN38" s="66"/>
      <c r="AO38" s="66"/>
      <c r="AP38" s="66"/>
      <c r="AQ38" s="66"/>
      <c r="AR38" s="66"/>
      <c r="AS38" s="66"/>
      <c r="AT38" s="66"/>
      <c r="AU38" s="66"/>
      <c r="AV38" s="66"/>
      <c r="AW38" s="66">
        <f>+'[7]AGOSTO 2019'!$Y$3058</f>
        <v>5000000</v>
      </c>
      <c r="AX38" s="66"/>
      <c r="AY38" s="66"/>
      <c r="AZ38" s="66"/>
      <c r="BA38" s="66"/>
      <c r="BB38" s="66"/>
      <c r="BC38" s="66"/>
      <c r="BD38" s="22">
        <f t="shared" si="3"/>
        <v>0</v>
      </c>
      <c r="BE38" s="66">
        <f t="shared" si="4"/>
        <v>0</v>
      </c>
      <c r="BF38" s="66">
        <f t="shared" si="22"/>
        <v>0</v>
      </c>
      <c r="BG38" s="66">
        <f t="shared" si="22"/>
        <v>0</v>
      </c>
      <c r="BH38" s="66">
        <f t="shared" si="22"/>
        <v>0</v>
      </c>
      <c r="BI38" s="66">
        <f t="shared" si="16"/>
        <v>0</v>
      </c>
      <c r="BJ38" s="66">
        <f t="shared" si="31"/>
        <v>0</v>
      </c>
      <c r="BK38" s="66">
        <f t="shared" si="31"/>
        <v>0</v>
      </c>
      <c r="BL38" s="66">
        <f t="shared" si="31"/>
        <v>0</v>
      </c>
      <c r="BM38" s="66">
        <f t="shared" si="31"/>
        <v>0</v>
      </c>
      <c r="BN38" s="66">
        <f t="shared" si="31"/>
        <v>0</v>
      </c>
      <c r="BO38" s="66">
        <f t="shared" si="31"/>
        <v>0</v>
      </c>
      <c r="BP38" s="66">
        <f t="shared" si="31"/>
        <v>0</v>
      </c>
      <c r="BQ38" s="66">
        <f t="shared" si="31"/>
        <v>0</v>
      </c>
      <c r="BR38" s="66">
        <f t="shared" si="31"/>
        <v>0</v>
      </c>
      <c r="BS38" s="66">
        <f t="shared" si="31"/>
        <v>0</v>
      </c>
      <c r="BT38" s="66">
        <f t="shared" si="31"/>
        <v>0</v>
      </c>
      <c r="BU38" s="66">
        <f t="shared" si="31"/>
        <v>0</v>
      </c>
      <c r="BV38" s="66">
        <f t="shared" si="31"/>
        <v>0</v>
      </c>
      <c r="BW38" s="66">
        <f t="shared" si="31"/>
        <v>0</v>
      </c>
      <c r="BX38" s="66">
        <f t="shared" si="31"/>
        <v>0</v>
      </c>
      <c r="BY38" s="66">
        <f t="shared" si="30"/>
        <v>0</v>
      </c>
      <c r="BZ38" s="66">
        <f t="shared" si="24"/>
        <v>0</v>
      </c>
      <c r="CA38" s="66"/>
      <c r="CB38" s="66">
        <f t="shared" si="25"/>
        <v>0</v>
      </c>
      <c r="CC38" s="22">
        <f t="shared" si="8"/>
        <v>0.87466659999999996</v>
      </c>
      <c r="CD38" s="66">
        <f t="shared" si="9"/>
        <v>4373333</v>
      </c>
      <c r="CE38" s="66"/>
      <c r="CF38" s="66"/>
      <c r="CG38" s="66"/>
      <c r="CH38" s="66"/>
      <c r="CI38" s="66"/>
      <c r="CJ38" s="66"/>
      <c r="CK38" s="66"/>
      <c r="CL38" s="66"/>
      <c r="CM38" s="66"/>
      <c r="CN38" s="66"/>
      <c r="CO38" s="66"/>
      <c r="CP38" s="66"/>
      <c r="CQ38" s="66"/>
      <c r="CR38" s="66"/>
      <c r="CS38" s="66"/>
      <c r="CT38" s="66"/>
      <c r="CU38" s="66">
        <f>+'[1]OCTUBRE 2019'!$H$3984</f>
        <v>4373333</v>
      </c>
      <c r="CV38" s="66"/>
      <c r="CW38" s="66"/>
      <c r="CX38" s="66"/>
      <c r="CY38" s="66"/>
      <c r="CZ38" s="66"/>
      <c r="DA38" s="66"/>
      <c r="DB38" s="22">
        <f t="shared" si="10"/>
        <v>0.12533340000000004</v>
      </c>
      <c r="DC38" s="66">
        <f t="shared" si="11"/>
        <v>626667</v>
      </c>
      <c r="DD38" s="66">
        <f t="shared" si="33"/>
        <v>0</v>
      </c>
      <c r="DE38" s="66">
        <f t="shared" si="33"/>
        <v>0</v>
      </c>
      <c r="DF38" s="66">
        <f t="shared" si="33"/>
        <v>0</v>
      </c>
      <c r="DG38" s="66">
        <f t="shared" si="33"/>
        <v>0</v>
      </c>
      <c r="DH38" s="66">
        <f t="shared" si="33"/>
        <v>0</v>
      </c>
      <c r="DI38" s="66">
        <f t="shared" si="33"/>
        <v>0</v>
      </c>
      <c r="DJ38" s="66">
        <f t="shared" si="32"/>
        <v>0</v>
      </c>
      <c r="DK38" s="66">
        <f t="shared" si="32"/>
        <v>0</v>
      </c>
      <c r="DL38" s="66">
        <f t="shared" si="32"/>
        <v>0</v>
      </c>
      <c r="DM38" s="66">
        <f t="shared" si="32"/>
        <v>0</v>
      </c>
      <c r="DN38" s="66">
        <f t="shared" si="32"/>
        <v>0</v>
      </c>
      <c r="DO38" s="66">
        <f t="shared" si="32"/>
        <v>0</v>
      </c>
      <c r="DP38" s="66">
        <f t="shared" si="32"/>
        <v>0</v>
      </c>
      <c r="DQ38" s="66">
        <f t="shared" si="32"/>
        <v>0</v>
      </c>
      <c r="DR38" s="66">
        <f t="shared" si="32"/>
        <v>0</v>
      </c>
      <c r="DS38" s="66">
        <f t="shared" si="32"/>
        <v>0</v>
      </c>
      <c r="DT38" s="66">
        <f t="shared" si="27"/>
        <v>626667</v>
      </c>
      <c r="DU38" s="66">
        <f t="shared" si="27"/>
        <v>0</v>
      </c>
      <c r="DV38" s="66">
        <f t="shared" si="27"/>
        <v>0</v>
      </c>
      <c r="DW38" s="66">
        <f t="shared" si="27"/>
        <v>0</v>
      </c>
      <c r="DX38" s="66">
        <f t="shared" si="27"/>
        <v>0</v>
      </c>
      <c r="DY38" s="66"/>
      <c r="DZ38" s="66">
        <f t="shared" si="28"/>
        <v>0</v>
      </c>
    </row>
    <row r="39" spans="1:135" ht="57" hidden="1" customHeight="1" x14ac:dyDescent="0.3">
      <c r="A39" s="134"/>
      <c r="B39" s="242"/>
      <c r="C39" s="121" t="s">
        <v>285</v>
      </c>
      <c r="D39" s="71" t="s">
        <v>284</v>
      </c>
      <c r="E39" s="124">
        <v>510</v>
      </c>
      <c r="F39" s="67" t="s">
        <v>283</v>
      </c>
      <c r="G39" s="66">
        <f t="shared" si="0"/>
        <v>5000000</v>
      </c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>
        <v>5000000</v>
      </c>
      <c r="Y39" s="66"/>
      <c r="Z39" s="66"/>
      <c r="AA39" s="66"/>
      <c r="AB39" s="66"/>
      <c r="AC39" s="66"/>
      <c r="AD39" s="66"/>
      <c r="AE39" s="22">
        <f t="shared" si="29"/>
        <v>1</v>
      </c>
      <c r="AF39" s="66">
        <f t="shared" si="21"/>
        <v>5000000</v>
      </c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6"/>
      <c r="AR39" s="66"/>
      <c r="AS39" s="66"/>
      <c r="AT39" s="66"/>
      <c r="AU39" s="66"/>
      <c r="AV39" s="66"/>
      <c r="AW39" s="66">
        <f>+'[3]JULIO 2019'!$Y$2704</f>
        <v>5000000</v>
      </c>
      <c r="AX39" s="66"/>
      <c r="AY39" s="66"/>
      <c r="AZ39" s="66"/>
      <c r="BA39" s="66"/>
      <c r="BB39" s="66"/>
      <c r="BC39" s="66"/>
      <c r="BD39" s="22">
        <f t="shared" si="3"/>
        <v>0</v>
      </c>
      <c r="BE39" s="66">
        <f t="shared" si="4"/>
        <v>0</v>
      </c>
      <c r="BF39" s="66">
        <f t="shared" si="22"/>
        <v>0</v>
      </c>
      <c r="BG39" s="66">
        <f t="shared" si="22"/>
        <v>0</v>
      </c>
      <c r="BH39" s="66">
        <f t="shared" si="22"/>
        <v>0</v>
      </c>
      <c r="BI39" s="66">
        <f t="shared" si="16"/>
        <v>0</v>
      </c>
      <c r="BJ39" s="66">
        <f t="shared" si="31"/>
        <v>0</v>
      </c>
      <c r="BK39" s="66">
        <f t="shared" si="31"/>
        <v>0</v>
      </c>
      <c r="BL39" s="66">
        <f t="shared" si="31"/>
        <v>0</v>
      </c>
      <c r="BM39" s="66">
        <f t="shared" si="31"/>
        <v>0</v>
      </c>
      <c r="BN39" s="66">
        <f t="shared" si="31"/>
        <v>0</v>
      </c>
      <c r="BO39" s="66">
        <f t="shared" si="31"/>
        <v>0</v>
      </c>
      <c r="BP39" s="66">
        <f t="shared" si="31"/>
        <v>0</v>
      </c>
      <c r="BQ39" s="66">
        <f t="shared" si="31"/>
        <v>0</v>
      </c>
      <c r="BR39" s="66">
        <f t="shared" si="31"/>
        <v>0</v>
      </c>
      <c r="BS39" s="66">
        <f t="shared" si="31"/>
        <v>0</v>
      </c>
      <c r="BT39" s="66">
        <f t="shared" si="31"/>
        <v>0</v>
      </c>
      <c r="BU39" s="66">
        <f t="shared" si="31"/>
        <v>0</v>
      </c>
      <c r="BV39" s="66">
        <f t="shared" si="31"/>
        <v>0</v>
      </c>
      <c r="BW39" s="66">
        <f t="shared" si="31"/>
        <v>0</v>
      </c>
      <c r="BX39" s="66">
        <f t="shared" si="31"/>
        <v>0</v>
      </c>
      <c r="BY39" s="66">
        <f t="shared" si="30"/>
        <v>0</v>
      </c>
      <c r="BZ39" s="66">
        <f t="shared" si="24"/>
        <v>0</v>
      </c>
      <c r="CA39" s="66"/>
      <c r="CB39" s="66">
        <f t="shared" si="25"/>
        <v>0</v>
      </c>
      <c r="CC39" s="22">
        <f t="shared" si="8"/>
        <v>1</v>
      </c>
      <c r="CD39" s="66">
        <f t="shared" si="9"/>
        <v>5000000</v>
      </c>
      <c r="CE39" s="66"/>
      <c r="CF39" s="66"/>
      <c r="CG39" s="66"/>
      <c r="CH39" s="66"/>
      <c r="CI39" s="66"/>
      <c r="CJ39" s="66"/>
      <c r="CK39" s="66"/>
      <c r="CL39" s="66"/>
      <c r="CM39" s="66"/>
      <c r="CN39" s="66"/>
      <c r="CO39" s="66"/>
      <c r="CP39" s="66"/>
      <c r="CQ39" s="66"/>
      <c r="CR39" s="66"/>
      <c r="CS39" s="66"/>
      <c r="CT39" s="66"/>
      <c r="CU39" s="66">
        <f>+'[7]AGOSTO 2019'!$Y$3064</f>
        <v>5000000</v>
      </c>
      <c r="CV39" s="66"/>
      <c r="CW39" s="66"/>
      <c r="CX39" s="66"/>
      <c r="CY39" s="66"/>
      <c r="CZ39" s="66"/>
      <c r="DA39" s="66"/>
      <c r="DB39" s="22">
        <f t="shared" si="10"/>
        <v>0</v>
      </c>
      <c r="DC39" s="66">
        <f t="shared" si="11"/>
        <v>0</v>
      </c>
      <c r="DD39" s="66">
        <f t="shared" si="33"/>
        <v>0</v>
      </c>
      <c r="DE39" s="66">
        <f t="shared" si="33"/>
        <v>0</v>
      </c>
      <c r="DF39" s="66">
        <f t="shared" si="33"/>
        <v>0</v>
      </c>
      <c r="DG39" s="66">
        <f t="shared" si="33"/>
        <v>0</v>
      </c>
      <c r="DH39" s="66">
        <f t="shared" si="33"/>
        <v>0</v>
      </c>
      <c r="DI39" s="66">
        <f t="shared" si="33"/>
        <v>0</v>
      </c>
      <c r="DJ39" s="66">
        <f t="shared" si="32"/>
        <v>0</v>
      </c>
      <c r="DK39" s="66">
        <f t="shared" si="32"/>
        <v>0</v>
      </c>
      <c r="DL39" s="66">
        <f t="shared" si="32"/>
        <v>0</v>
      </c>
      <c r="DM39" s="66">
        <f t="shared" si="32"/>
        <v>0</v>
      </c>
      <c r="DN39" s="66">
        <f t="shared" si="32"/>
        <v>0</v>
      </c>
      <c r="DO39" s="66">
        <f t="shared" si="32"/>
        <v>0</v>
      </c>
      <c r="DP39" s="66">
        <f t="shared" si="32"/>
        <v>0</v>
      </c>
      <c r="DQ39" s="66">
        <f t="shared" si="32"/>
        <v>0</v>
      </c>
      <c r="DR39" s="66">
        <f t="shared" si="32"/>
        <v>0</v>
      </c>
      <c r="DS39" s="66">
        <f t="shared" si="32"/>
        <v>0</v>
      </c>
      <c r="DT39" s="66">
        <f t="shared" si="27"/>
        <v>0</v>
      </c>
      <c r="DU39" s="66">
        <f t="shared" si="27"/>
        <v>0</v>
      </c>
      <c r="DV39" s="66">
        <f t="shared" si="27"/>
        <v>0</v>
      </c>
      <c r="DW39" s="66">
        <f t="shared" si="27"/>
        <v>0</v>
      </c>
      <c r="DX39" s="66">
        <f t="shared" si="27"/>
        <v>0</v>
      </c>
      <c r="DY39" s="66"/>
      <c r="DZ39" s="66">
        <f t="shared" si="28"/>
        <v>0</v>
      </c>
    </row>
    <row r="40" spans="1:135" s="59" customFormat="1" ht="17.25" customHeight="1" thickBot="1" x14ac:dyDescent="0.35">
      <c r="A40" s="133"/>
      <c r="B40" s="287" t="s">
        <v>282</v>
      </c>
      <c r="C40" s="288"/>
      <c r="D40" s="288"/>
      <c r="E40" s="289"/>
      <c r="F40" s="132"/>
      <c r="G40" s="131">
        <f t="shared" ref="G40:AD40" si="34">SUM(G5:G39)</f>
        <v>4377995649</v>
      </c>
      <c r="H40" s="131">
        <f t="shared" si="34"/>
        <v>23655791</v>
      </c>
      <c r="I40" s="131">
        <f t="shared" si="34"/>
        <v>1141800000</v>
      </c>
      <c r="J40" s="131">
        <f t="shared" si="34"/>
        <v>80644090</v>
      </c>
      <c r="K40" s="131">
        <f t="shared" si="34"/>
        <v>300000000</v>
      </c>
      <c r="L40" s="131">
        <f t="shared" si="34"/>
        <v>0</v>
      </c>
      <c r="M40" s="131">
        <f t="shared" si="34"/>
        <v>0</v>
      </c>
      <c r="N40" s="131">
        <f t="shared" si="34"/>
        <v>244096406</v>
      </c>
      <c r="O40" s="131">
        <f t="shared" si="34"/>
        <v>300000000</v>
      </c>
      <c r="P40" s="131">
        <f t="shared" si="34"/>
        <v>65000000</v>
      </c>
      <c r="Q40" s="131">
        <f t="shared" si="34"/>
        <v>15000000</v>
      </c>
      <c r="R40" s="131">
        <f t="shared" si="34"/>
        <v>55000000</v>
      </c>
      <c r="S40" s="131">
        <f t="shared" si="34"/>
        <v>0</v>
      </c>
      <c r="T40" s="131">
        <f t="shared" si="34"/>
        <v>0</v>
      </c>
      <c r="U40" s="131">
        <f t="shared" si="34"/>
        <v>51586236</v>
      </c>
      <c r="V40" s="131">
        <f t="shared" si="34"/>
        <v>0</v>
      </c>
      <c r="W40" s="131">
        <f t="shared" si="34"/>
        <v>30000000</v>
      </c>
      <c r="X40" s="131">
        <f t="shared" si="34"/>
        <v>312000000</v>
      </c>
      <c r="Y40" s="131">
        <f t="shared" si="34"/>
        <v>79000000</v>
      </c>
      <c r="Z40" s="131">
        <f t="shared" si="34"/>
        <v>0</v>
      </c>
      <c r="AA40" s="131">
        <f t="shared" si="34"/>
        <v>0</v>
      </c>
      <c r="AB40" s="131">
        <f t="shared" si="34"/>
        <v>0</v>
      </c>
      <c r="AC40" s="131">
        <f t="shared" si="34"/>
        <v>972811018</v>
      </c>
      <c r="AD40" s="131">
        <f t="shared" si="34"/>
        <v>707402108</v>
      </c>
      <c r="AE40" s="62">
        <f t="shared" si="29"/>
        <v>0.71128380283139014</v>
      </c>
      <c r="AF40" s="130">
        <f>SUM(AF5:AF39)</f>
        <v>3113997394</v>
      </c>
      <c r="AG40" s="130">
        <f>SUM(AG5:AG39)</f>
        <v>0</v>
      </c>
      <c r="AH40" s="130">
        <f>SUM(AH5:AH39)</f>
        <v>1089065583</v>
      </c>
      <c r="AI40" s="130">
        <f>SUM(AI5:AI39)</f>
        <v>71205370</v>
      </c>
      <c r="AJ40" s="130"/>
      <c r="AK40" s="130">
        <f t="shared" ref="AK40:BC40" si="35">SUM(AK5:AK39)</f>
        <v>0</v>
      </c>
      <c r="AL40" s="130">
        <f t="shared" si="35"/>
        <v>0</v>
      </c>
      <c r="AM40" s="130">
        <f t="shared" si="35"/>
        <v>236438964</v>
      </c>
      <c r="AN40" s="130">
        <f t="shared" si="35"/>
        <v>300000000</v>
      </c>
      <c r="AO40" s="130">
        <f t="shared" si="35"/>
        <v>0</v>
      </c>
      <c r="AP40" s="130">
        <f t="shared" si="35"/>
        <v>14999964</v>
      </c>
      <c r="AQ40" s="130">
        <f t="shared" si="35"/>
        <v>0</v>
      </c>
      <c r="AR40" s="130">
        <f t="shared" si="35"/>
        <v>0</v>
      </c>
      <c r="AS40" s="130">
        <f t="shared" si="35"/>
        <v>0</v>
      </c>
      <c r="AT40" s="130">
        <f t="shared" si="35"/>
        <v>0</v>
      </c>
      <c r="AU40" s="130">
        <f t="shared" si="35"/>
        <v>0</v>
      </c>
      <c r="AV40" s="130">
        <f t="shared" si="35"/>
        <v>30000000</v>
      </c>
      <c r="AW40" s="130">
        <f t="shared" si="35"/>
        <v>255244655</v>
      </c>
      <c r="AX40" s="130">
        <f t="shared" si="35"/>
        <v>21500000</v>
      </c>
      <c r="AY40" s="130">
        <f t="shared" si="35"/>
        <v>0</v>
      </c>
      <c r="AZ40" s="130">
        <f t="shared" si="35"/>
        <v>0</v>
      </c>
      <c r="BA40" s="130">
        <f t="shared" si="35"/>
        <v>0</v>
      </c>
      <c r="BB40" s="130">
        <f t="shared" si="35"/>
        <v>564330000</v>
      </c>
      <c r="BC40" s="130">
        <f t="shared" si="35"/>
        <v>531212858</v>
      </c>
      <c r="BD40" s="62">
        <f t="shared" si="3"/>
        <v>0.28871619716860986</v>
      </c>
      <c r="BE40" s="130">
        <f t="shared" ref="BE40:CB40" si="36">SUM(BE5:BE39)</f>
        <v>1263998255</v>
      </c>
      <c r="BF40" s="130">
        <f t="shared" si="36"/>
        <v>23655791</v>
      </c>
      <c r="BG40" s="130">
        <f t="shared" si="36"/>
        <v>52734417</v>
      </c>
      <c r="BH40" s="130">
        <f t="shared" si="36"/>
        <v>9438720</v>
      </c>
      <c r="BI40" s="130">
        <f t="shared" si="36"/>
        <v>300000000</v>
      </c>
      <c r="BJ40" s="130">
        <f t="shared" si="36"/>
        <v>0</v>
      </c>
      <c r="BK40" s="130">
        <f t="shared" si="36"/>
        <v>0</v>
      </c>
      <c r="BL40" s="130">
        <f t="shared" si="36"/>
        <v>7657442</v>
      </c>
      <c r="BM40" s="130">
        <f t="shared" si="36"/>
        <v>0</v>
      </c>
      <c r="BN40" s="130">
        <f t="shared" si="36"/>
        <v>65000000</v>
      </c>
      <c r="BO40" s="130">
        <f t="shared" si="36"/>
        <v>36</v>
      </c>
      <c r="BP40" s="130">
        <f t="shared" si="36"/>
        <v>55000000</v>
      </c>
      <c r="BQ40" s="130">
        <f t="shared" si="36"/>
        <v>0</v>
      </c>
      <c r="BR40" s="130">
        <f t="shared" si="36"/>
        <v>0</v>
      </c>
      <c r="BS40" s="130">
        <f t="shared" si="36"/>
        <v>51586236</v>
      </c>
      <c r="BT40" s="130">
        <f t="shared" si="36"/>
        <v>0</v>
      </c>
      <c r="BU40" s="130">
        <f t="shared" si="36"/>
        <v>0</v>
      </c>
      <c r="BV40" s="130">
        <f t="shared" si="36"/>
        <v>56755345</v>
      </c>
      <c r="BW40" s="130">
        <f t="shared" si="36"/>
        <v>57500000</v>
      </c>
      <c r="BX40" s="130">
        <f t="shared" si="36"/>
        <v>0</v>
      </c>
      <c r="BY40" s="130">
        <f t="shared" si="36"/>
        <v>0</v>
      </c>
      <c r="BZ40" s="130">
        <f t="shared" si="36"/>
        <v>0</v>
      </c>
      <c r="CA40" s="130">
        <f t="shared" si="36"/>
        <v>408481018</v>
      </c>
      <c r="CB40" s="130">
        <f t="shared" si="36"/>
        <v>176189250</v>
      </c>
      <c r="CC40" s="62">
        <f t="shared" si="8"/>
        <v>0.58177643748498842</v>
      </c>
      <c r="CD40" s="192">
        <f>SUM(CD5:CD39)</f>
        <v>2547014712</v>
      </c>
      <c r="CE40" s="130">
        <f>SUM(CE5:CE39)</f>
        <v>0</v>
      </c>
      <c r="CF40" s="130">
        <f>SUM(CF5:CF39)</f>
        <v>934440476</v>
      </c>
      <c r="CG40" s="130">
        <f>SUM(CG5:CG39)</f>
        <v>33329347</v>
      </c>
      <c r="CH40" s="130"/>
      <c r="CI40" s="130">
        <f t="shared" ref="CI40:DA40" si="37">SUM(CI5:CI39)</f>
        <v>0</v>
      </c>
      <c r="CJ40" s="130">
        <f t="shared" si="37"/>
        <v>0</v>
      </c>
      <c r="CK40" s="130">
        <f t="shared" si="37"/>
        <v>236438964</v>
      </c>
      <c r="CL40" s="130">
        <f t="shared" si="37"/>
        <v>300000000</v>
      </c>
      <c r="CM40" s="130">
        <f t="shared" si="37"/>
        <v>0</v>
      </c>
      <c r="CN40" s="130">
        <f t="shared" si="37"/>
        <v>14999964</v>
      </c>
      <c r="CO40" s="130">
        <f t="shared" si="37"/>
        <v>0</v>
      </c>
      <c r="CP40" s="130">
        <f t="shared" si="37"/>
        <v>0</v>
      </c>
      <c r="CQ40" s="130">
        <f t="shared" si="37"/>
        <v>0</v>
      </c>
      <c r="CR40" s="130">
        <f t="shared" si="37"/>
        <v>0</v>
      </c>
      <c r="CS40" s="130">
        <f t="shared" si="37"/>
        <v>0</v>
      </c>
      <c r="CT40" s="130">
        <f t="shared" si="37"/>
        <v>27384000</v>
      </c>
      <c r="CU40" s="130">
        <f t="shared" si="37"/>
        <v>217057833</v>
      </c>
      <c r="CV40" s="130">
        <f t="shared" si="37"/>
        <v>11200000</v>
      </c>
      <c r="CW40" s="130">
        <f t="shared" si="37"/>
        <v>0</v>
      </c>
      <c r="CX40" s="130">
        <f t="shared" si="37"/>
        <v>0</v>
      </c>
      <c r="CY40" s="130">
        <f t="shared" si="37"/>
        <v>0</v>
      </c>
      <c r="CZ40" s="130">
        <f t="shared" si="37"/>
        <v>467044183</v>
      </c>
      <c r="DA40" s="130">
        <f t="shared" si="37"/>
        <v>305119945</v>
      </c>
      <c r="DB40" s="62">
        <f t="shared" si="10"/>
        <v>0.41822356251501158</v>
      </c>
      <c r="DC40" s="130">
        <f t="shared" ref="DC40:DZ40" si="38">SUM(DC5:DC39)</f>
        <v>1830980937</v>
      </c>
      <c r="DD40" s="130">
        <f t="shared" si="38"/>
        <v>23655791</v>
      </c>
      <c r="DE40" s="130">
        <f t="shared" si="38"/>
        <v>207359524</v>
      </c>
      <c r="DF40" s="130">
        <f t="shared" si="38"/>
        <v>47314743</v>
      </c>
      <c r="DG40" s="130">
        <f t="shared" si="38"/>
        <v>300000000</v>
      </c>
      <c r="DH40" s="130">
        <f t="shared" si="38"/>
        <v>0</v>
      </c>
      <c r="DI40" s="130">
        <f t="shared" si="38"/>
        <v>0</v>
      </c>
      <c r="DJ40" s="130">
        <f t="shared" si="38"/>
        <v>7657442</v>
      </c>
      <c r="DK40" s="130">
        <f t="shared" si="38"/>
        <v>0</v>
      </c>
      <c r="DL40" s="130">
        <f t="shared" si="38"/>
        <v>65000000</v>
      </c>
      <c r="DM40" s="130">
        <f t="shared" si="38"/>
        <v>36</v>
      </c>
      <c r="DN40" s="130">
        <f t="shared" si="38"/>
        <v>55000000</v>
      </c>
      <c r="DO40" s="130">
        <f t="shared" si="38"/>
        <v>0</v>
      </c>
      <c r="DP40" s="130">
        <f t="shared" si="38"/>
        <v>0</v>
      </c>
      <c r="DQ40" s="130">
        <f t="shared" si="38"/>
        <v>51586236</v>
      </c>
      <c r="DR40" s="130">
        <f t="shared" si="38"/>
        <v>0</v>
      </c>
      <c r="DS40" s="130">
        <f t="shared" si="38"/>
        <v>2616000</v>
      </c>
      <c r="DT40" s="130">
        <f t="shared" si="38"/>
        <v>94942167</v>
      </c>
      <c r="DU40" s="130">
        <f t="shared" si="38"/>
        <v>67800000</v>
      </c>
      <c r="DV40" s="130">
        <f t="shared" si="38"/>
        <v>0</v>
      </c>
      <c r="DW40" s="130">
        <f t="shared" si="38"/>
        <v>0</v>
      </c>
      <c r="DX40" s="130">
        <f t="shared" si="38"/>
        <v>0</v>
      </c>
      <c r="DY40" s="130">
        <f t="shared" si="38"/>
        <v>505766835</v>
      </c>
      <c r="DZ40" s="130">
        <f t="shared" si="38"/>
        <v>402282163</v>
      </c>
      <c r="EB40" s="164" t="s">
        <v>425</v>
      </c>
      <c r="EC40" s="169">
        <v>4377995649</v>
      </c>
      <c r="ED40" s="169">
        <v>2547014712</v>
      </c>
      <c r="EE40" s="171">
        <f>+CC40</f>
        <v>0.58177643748498842</v>
      </c>
    </row>
    <row r="41" spans="1:135" ht="29.4" hidden="1" customHeight="1" thickTop="1" x14ac:dyDescent="0.3">
      <c r="A41" s="129" t="s">
        <v>236</v>
      </c>
      <c r="B41" s="235" t="s">
        <v>281</v>
      </c>
      <c r="C41" s="121" t="s">
        <v>280</v>
      </c>
      <c r="D41" s="71" t="s">
        <v>279</v>
      </c>
      <c r="E41" s="124">
        <v>410</v>
      </c>
      <c r="F41" s="67" t="s">
        <v>127</v>
      </c>
      <c r="G41" s="66">
        <f t="shared" ref="G41:G80" si="39">SUM(H41:AD41)</f>
        <v>127934437</v>
      </c>
      <c r="H41" s="66"/>
      <c r="I41" s="66"/>
      <c r="J41" s="66"/>
      <c r="K41" s="66"/>
      <c r="L41" s="66"/>
      <c r="M41" s="66"/>
      <c r="N41" s="66"/>
      <c r="O41" s="66">
        <f>105848404+22086033</f>
        <v>127934437</v>
      </c>
      <c r="P41" s="35"/>
      <c r="Q41" s="35"/>
      <c r="R41" s="35"/>
      <c r="S41" s="35"/>
      <c r="T41" s="35"/>
      <c r="U41" s="35"/>
      <c r="V41" s="35"/>
      <c r="W41" s="35"/>
      <c r="X41" s="66"/>
      <c r="Y41" s="35"/>
      <c r="Z41" s="35"/>
      <c r="AA41" s="35"/>
      <c r="AB41" s="35"/>
      <c r="AC41" s="35"/>
      <c r="AD41" s="35"/>
      <c r="AE41" s="114">
        <f t="shared" si="29"/>
        <v>0.80737250596569243</v>
      </c>
      <c r="AF41" s="66">
        <f t="shared" ref="AF41:AF80" si="40">SUM(AG41:BC41)</f>
        <v>103290747</v>
      </c>
      <c r="AG41" s="66"/>
      <c r="AH41" s="66"/>
      <c r="AI41" s="66"/>
      <c r="AJ41" s="66"/>
      <c r="AK41" s="66"/>
      <c r="AL41" s="66"/>
      <c r="AM41" s="66"/>
      <c r="AN41" s="66">
        <f>+'[1]OCTUBRE 2019'!$Q$1639</f>
        <v>103290747</v>
      </c>
      <c r="AO41" s="66"/>
      <c r="AP41" s="66"/>
      <c r="AQ41" s="66"/>
      <c r="AR41" s="66"/>
      <c r="AS41" s="66"/>
      <c r="AT41" s="66"/>
      <c r="AU41" s="66"/>
      <c r="AV41" s="66"/>
      <c r="AW41" s="66"/>
      <c r="AX41" s="66"/>
      <c r="AY41" s="66"/>
      <c r="AZ41" s="66"/>
      <c r="BA41" s="66"/>
      <c r="BB41" s="66"/>
      <c r="BC41" s="66"/>
      <c r="BD41" s="114">
        <f t="shared" si="3"/>
        <v>0.19262749403430757</v>
      </c>
      <c r="BE41" s="66">
        <f t="shared" ref="BE41:BE80" si="41">SUM(BF41:CB41)</f>
        <v>24643690</v>
      </c>
      <c r="BF41" s="66">
        <f t="shared" ref="BF41:BH80" si="42">H41-AG41</f>
        <v>0</v>
      </c>
      <c r="BG41" s="66">
        <f t="shared" si="42"/>
        <v>0</v>
      </c>
      <c r="BH41" s="66">
        <f t="shared" si="42"/>
        <v>0</v>
      </c>
      <c r="BI41" s="66">
        <f t="shared" ref="BI41:BI80" si="43">+K41-AJ41</f>
        <v>0</v>
      </c>
      <c r="BJ41" s="66">
        <f t="shared" ref="BJ41:BY56" si="44">L41-AK41</f>
        <v>0</v>
      </c>
      <c r="BK41" s="66">
        <f t="shared" si="44"/>
        <v>0</v>
      </c>
      <c r="BL41" s="66">
        <f t="shared" si="44"/>
        <v>0</v>
      </c>
      <c r="BM41" s="66">
        <f t="shared" si="44"/>
        <v>24643690</v>
      </c>
      <c r="BN41" s="66">
        <f t="shared" si="44"/>
        <v>0</v>
      </c>
      <c r="BO41" s="66">
        <f t="shared" si="44"/>
        <v>0</v>
      </c>
      <c r="BP41" s="66">
        <f t="shared" si="44"/>
        <v>0</v>
      </c>
      <c r="BQ41" s="66">
        <f t="shared" si="44"/>
        <v>0</v>
      </c>
      <c r="BR41" s="66">
        <f t="shared" si="44"/>
        <v>0</v>
      </c>
      <c r="BS41" s="66">
        <f t="shared" si="44"/>
        <v>0</v>
      </c>
      <c r="BT41" s="66">
        <f t="shared" si="44"/>
        <v>0</v>
      </c>
      <c r="BU41" s="66">
        <f t="shared" si="44"/>
        <v>0</v>
      </c>
      <c r="BV41" s="66">
        <f t="shared" si="44"/>
        <v>0</v>
      </c>
      <c r="BW41" s="66">
        <f t="shared" si="44"/>
        <v>0</v>
      </c>
      <c r="BX41" s="66">
        <f t="shared" si="44"/>
        <v>0</v>
      </c>
      <c r="BY41" s="66">
        <f t="shared" si="44"/>
        <v>0</v>
      </c>
      <c r="BZ41" s="66">
        <f t="shared" ref="BZ41:BZ80" si="45">AB41-BA41</f>
        <v>0</v>
      </c>
      <c r="CA41" s="66"/>
      <c r="CB41" s="66">
        <f t="shared" ref="CB41:CB80" si="46">AD41-BC41</f>
        <v>0</v>
      </c>
      <c r="CC41" s="114">
        <f t="shared" si="8"/>
        <v>9.7620705518092835E-2</v>
      </c>
      <c r="CD41" s="99">
        <f t="shared" ref="CD41:CD80" si="47">SUM(CE41:DA41)</f>
        <v>12489050</v>
      </c>
      <c r="CE41" s="99"/>
      <c r="CF41" s="99"/>
      <c r="CG41" s="99"/>
      <c r="CH41" s="99"/>
      <c r="CI41" s="99"/>
      <c r="CJ41" s="99"/>
      <c r="CK41" s="99"/>
      <c r="CL41" s="99">
        <f>+'[7]AGOSTO 2019'!$H$1223</f>
        <v>12489050</v>
      </c>
      <c r="CM41" s="99"/>
      <c r="CN41" s="99"/>
      <c r="CO41" s="99"/>
      <c r="CP41" s="99"/>
      <c r="CQ41" s="99"/>
      <c r="CR41" s="99"/>
      <c r="CS41" s="99"/>
      <c r="CT41" s="99"/>
      <c r="CU41" s="99"/>
      <c r="CV41" s="99"/>
      <c r="CW41" s="99"/>
      <c r="CX41" s="99"/>
      <c r="CY41" s="99"/>
      <c r="CZ41" s="99"/>
      <c r="DA41" s="99"/>
      <c r="DB41" s="114">
        <f t="shared" si="10"/>
        <v>0.90237929448190712</v>
      </c>
      <c r="DC41" s="66">
        <f t="shared" ref="DC41:DC80" si="48">SUM(DD41:DZ41)</f>
        <v>115445387</v>
      </c>
      <c r="DD41" s="66">
        <f t="shared" ref="DD41:DS56" si="49">H41-CE41</f>
        <v>0</v>
      </c>
      <c r="DE41" s="66">
        <f t="shared" si="49"/>
        <v>0</v>
      </c>
      <c r="DF41" s="66">
        <f t="shared" si="49"/>
        <v>0</v>
      </c>
      <c r="DG41" s="66">
        <f t="shared" si="49"/>
        <v>0</v>
      </c>
      <c r="DH41" s="66">
        <f t="shared" si="49"/>
        <v>0</v>
      </c>
      <c r="DI41" s="66">
        <f t="shared" si="49"/>
        <v>0</v>
      </c>
      <c r="DJ41" s="66">
        <f t="shared" si="49"/>
        <v>0</v>
      </c>
      <c r="DK41" s="66">
        <f t="shared" si="49"/>
        <v>115445387</v>
      </c>
      <c r="DL41" s="66">
        <f t="shared" si="49"/>
        <v>0</v>
      </c>
      <c r="DM41" s="66">
        <f t="shared" si="49"/>
        <v>0</v>
      </c>
      <c r="DN41" s="66">
        <f t="shared" si="49"/>
        <v>0</v>
      </c>
      <c r="DO41" s="66">
        <f t="shared" si="49"/>
        <v>0</v>
      </c>
      <c r="DP41" s="66">
        <f t="shared" si="49"/>
        <v>0</v>
      </c>
      <c r="DQ41" s="66">
        <f t="shared" si="49"/>
        <v>0</v>
      </c>
      <c r="DR41" s="66">
        <f t="shared" si="49"/>
        <v>0</v>
      </c>
      <c r="DS41" s="66">
        <f t="shared" si="49"/>
        <v>0</v>
      </c>
      <c r="DT41" s="66">
        <f t="shared" ref="DT41:DX80" si="50">X41-CU41</f>
        <v>0</v>
      </c>
      <c r="DU41" s="66">
        <f t="shared" si="50"/>
        <v>0</v>
      </c>
      <c r="DV41" s="66">
        <f t="shared" si="50"/>
        <v>0</v>
      </c>
      <c r="DW41" s="66">
        <f t="shared" si="50"/>
        <v>0</v>
      </c>
      <c r="DX41" s="66">
        <f t="shared" si="50"/>
        <v>0</v>
      </c>
      <c r="DY41" s="66"/>
      <c r="DZ41" s="66">
        <f t="shared" ref="DZ41:DZ80" si="51">AD41-DA41</f>
        <v>0</v>
      </c>
      <c r="EC41" s="170">
        <v>127934437</v>
      </c>
      <c r="ED41" s="169">
        <v>12489050</v>
      </c>
      <c r="EE41" s="171">
        <f t="shared" ref="EE41:EE104" si="52">+CC41</f>
        <v>9.7620705518092835E-2</v>
      </c>
    </row>
    <row r="42" spans="1:135" ht="45" hidden="1" customHeight="1" x14ac:dyDescent="0.3">
      <c r="A42" s="128"/>
      <c r="B42" s="235"/>
      <c r="C42" s="121" t="s">
        <v>278</v>
      </c>
      <c r="D42" s="71" t="s">
        <v>277</v>
      </c>
      <c r="E42" s="124">
        <v>410</v>
      </c>
      <c r="F42" s="67" t="s">
        <v>127</v>
      </c>
      <c r="G42" s="66">
        <f t="shared" si="39"/>
        <v>467922436</v>
      </c>
      <c r="H42" s="66"/>
      <c r="I42" s="66"/>
      <c r="J42" s="66"/>
      <c r="K42" s="66"/>
      <c r="L42" s="66"/>
      <c r="M42" s="66"/>
      <c r="N42" s="66"/>
      <c r="O42" s="66">
        <f>200000000+156000000+21723740</f>
        <v>377723740</v>
      </c>
      <c r="P42" s="66"/>
      <c r="Q42" s="66"/>
      <c r="R42" s="66"/>
      <c r="S42" s="66">
        <v>25617559</v>
      </c>
      <c r="T42" s="66"/>
      <c r="U42" s="66"/>
      <c r="V42" s="66"/>
      <c r="W42" s="66"/>
      <c r="X42" s="66"/>
      <c r="Y42" s="66"/>
      <c r="Z42" s="66">
        <f>49229363+15351774</f>
        <v>64581137</v>
      </c>
      <c r="AA42" s="66"/>
      <c r="AB42" s="66"/>
      <c r="AC42" s="66"/>
      <c r="AD42" s="66"/>
      <c r="AE42" s="22">
        <f t="shared" si="29"/>
        <v>0.95364813838505491</v>
      </c>
      <c r="AF42" s="66">
        <f t="shared" si="40"/>
        <v>446233360</v>
      </c>
      <c r="AG42" s="66"/>
      <c r="AH42" s="66"/>
      <c r="AI42" s="66"/>
      <c r="AJ42" s="66"/>
      <c r="AK42" s="66"/>
      <c r="AL42" s="66"/>
      <c r="AM42" s="66"/>
      <c r="AN42" s="66">
        <f>+'[2]SEPTIEMBRE 2019'!$Q$1482</f>
        <v>376835867</v>
      </c>
      <c r="AO42" s="66"/>
      <c r="AP42" s="66"/>
      <c r="AQ42" s="66"/>
      <c r="AR42" s="66">
        <f>+'[1]OCTUBRE 2019'!$U$1653</f>
        <v>20415783</v>
      </c>
      <c r="AS42" s="66"/>
      <c r="AT42" s="66"/>
      <c r="AU42" s="66"/>
      <c r="AV42" s="66"/>
      <c r="AW42" s="66"/>
      <c r="AX42" s="66"/>
      <c r="AY42" s="66">
        <f>+'[2]SEPTIEMBRE 2019'!$AB$1482</f>
        <v>48981710</v>
      </c>
      <c r="AZ42" s="66"/>
      <c r="BA42" s="66"/>
      <c r="BB42" s="66"/>
      <c r="BC42" s="66"/>
      <c r="BD42" s="22">
        <f t="shared" si="3"/>
        <v>4.6351861614945089E-2</v>
      </c>
      <c r="BE42" s="66">
        <f t="shared" si="41"/>
        <v>21689076</v>
      </c>
      <c r="BF42" s="66">
        <f t="shared" si="42"/>
        <v>0</v>
      </c>
      <c r="BG42" s="66">
        <f t="shared" si="42"/>
        <v>0</v>
      </c>
      <c r="BH42" s="66">
        <f t="shared" si="42"/>
        <v>0</v>
      </c>
      <c r="BI42" s="66">
        <f t="shared" si="43"/>
        <v>0</v>
      </c>
      <c r="BJ42" s="66">
        <f t="shared" si="44"/>
        <v>0</v>
      </c>
      <c r="BK42" s="66">
        <f t="shared" si="44"/>
        <v>0</v>
      </c>
      <c r="BL42" s="66">
        <f t="shared" si="44"/>
        <v>0</v>
      </c>
      <c r="BM42" s="66">
        <f t="shared" si="44"/>
        <v>887873</v>
      </c>
      <c r="BN42" s="66">
        <f t="shared" si="44"/>
        <v>0</v>
      </c>
      <c r="BO42" s="66">
        <f t="shared" si="44"/>
        <v>0</v>
      </c>
      <c r="BP42" s="66">
        <f t="shared" si="44"/>
        <v>0</v>
      </c>
      <c r="BQ42" s="66">
        <f t="shared" si="44"/>
        <v>5201776</v>
      </c>
      <c r="BR42" s="66">
        <f t="shared" si="44"/>
        <v>0</v>
      </c>
      <c r="BS42" s="66">
        <f t="shared" si="44"/>
        <v>0</v>
      </c>
      <c r="BT42" s="66">
        <f t="shared" si="44"/>
        <v>0</v>
      </c>
      <c r="BU42" s="66">
        <f t="shared" si="44"/>
        <v>0</v>
      </c>
      <c r="BV42" s="66">
        <f t="shared" si="44"/>
        <v>0</v>
      </c>
      <c r="BW42" s="66">
        <f t="shared" si="44"/>
        <v>0</v>
      </c>
      <c r="BX42" s="66">
        <f t="shared" si="44"/>
        <v>15599427</v>
      </c>
      <c r="BY42" s="66">
        <f t="shared" si="44"/>
        <v>0</v>
      </c>
      <c r="BZ42" s="66">
        <f t="shared" si="45"/>
        <v>0</v>
      </c>
      <c r="CA42" s="66"/>
      <c r="CB42" s="66">
        <f t="shared" si="46"/>
        <v>0</v>
      </c>
      <c r="CC42" s="22">
        <f t="shared" si="8"/>
        <v>0.34857599989071691</v>
      </c>
      <c r="CD42" s="66">
        <f t="shared" si="47"/>
        <v>163106531</v>
      </c>
      <c r="CE42" s="66"/>
      <c r="CF42" s="66"/>
      <c r="CG42" s="66"/>
      <c r="CH42" s="66"/>
      <c r="CI42" s="66"/>
      <c r="CJ42" s="66"/>
      <c r="CK42" s="66"/>
      <c r="CL42" s="66">
        <f>+'[1]OCTUBRE 2019'!$H$1654+'[1]OCTUBRE 2019'!$H$1656+'[1]OCTUBRE 2019'!$H$1660+'[1]OCTUBRE 2019'!$H$1662+'[1]OCTUBRE 2019'!$H$1664+'[1]OCTUBRE 2019'!$H$1668+'[1]OCTUBRE 2019'!$H$1684+'[1]OCTUBRE 2019'!$H$1687</f>
        <v>163106531</v>
      </c>
      <c r="CM42" s="66"/>
      <c r="CN42" s="66"/>
      <c r="CO42" s="66"/>
      <c r="CP42" s="66"/>
      <c r="CQ42" s="66"/>
      <c r="CR42" s="66"/>
      <c r="CS42" s="66"/>
      <c r="CT42" s="66"/>
      <c r="CU42" s="66"/>
      <c r="CV42" s="66"/>
      <c r="CW42" s="66"/>
      <c r="CX42" s="66"/>
      <c r="CY42" s="66"/>
      <c r="CZ42" s="66"/>
      <c r="DA42" s="66"/>
      <c r="DB42" s="22">
        <f t="shared" si="10"/>
        <v>0.65142400010928303</v>
      </c>
      <c r="DC42" s="66">
        <f t="shared" si="48"/>
        <v>304815905</v>
      </c>
      <c r="DD42" s="66">
        <f t="shared" si="49"/>
        <v>0</v>
      </c>
      <c r="DE42" s="66">
        <f t="shared" si="49"/>
        <v>0</v>
      </c>
      <c r="DF42" s="66">
        <f t="shared" si="49"/>
        <v>0</v>
      </c>
      <c r="DG42" s="66">
        <f t="shared" si="49"/>
        <v>0</v>
      </c>
      <c r="DH42" s="66">
        <f t="shared" si="49"/>
        <v>0</v>
      </c>
      <c r="DI42" s="66">
        <f t="shared" si="49"/>
        <v>0</v>
      </c>
      <c r="DJ42" s="66">
        <f t="shared" si="49"/>
        <v>0</v>
      </c>
      <c r="DK42" s="66">
        <f t="shared" si="49"/>
        <v>214617209</v>
      </c>
      <c r="DL42" s="66">
        <f t="shared" si="49"/>
        <v>0</v>
      </c>
      <c r="DM42" s="66">
        <f t="shared" si="49"/>
        <v>0</v>
      </c>
      <c r="DN42" s="66">
        <f t="shared" si="49"/>
        <v>0</v>
      </c>
      <c r="DO42" s="66">
        <f t="shared" si="49"/>
        <v>25617559</v>
      </c>
      <c r="DP42" s="66">
        <f t="shared" si="49"/>
        <v>0</v>
      </c>
      <c r="DQ42" s="66">
        <f t="shared" si="49"/>
        <v>0</v>
      </c>
      <c r="DR42" s="66">
        <f t="shared" si="49"/>
        <v>0</v>
      </c>
      <c r="DS42" s="66">
        <f t="shared" si="49"/>
        <v>0</v>
      </c>
      <c r="DT42" s="66">
        <f t="shared" si="50"/>
        <v>0</v>
      </c>
      <c r="DU42" s="66">
        <f t="shared" si="50"/>
        <v>0</v>
      </c>
      <c r="DV42" s="66">
        <f t="shared" si="50"/>
        <v>64581137</v>
      </c>
      <c r="DW42" s="66">
        <f t="shared" si="50"/>
        <v>0</v>
      </c>
      <c r="DX42" s="66">
        <f t="shared" si="50"/>
        <v>0</v>
      </c>
      <c r="DY42" s="66"/>
      <c r="DZ42" s="66">
        <f t="shared" si="51"/>
        <v>0</v>
      </c>
      <c r="EC42" s="170">
        <v>467922436</v>
      </c>
      <c r="ED42" s="169">
        <v>163106531</v>
      </c>
      <c r="EE42" s="171">
        <f t="shared" si="52"/>
        <v>0.34857599989071691</v>
      </c>
    </row>
    <row r="43" spans="1:135" ht="26.4" hidden="1" customHeight="1" x14ac:dyDescent="0.3">
      <c r="A43" s="128"/>
      <c r="B43" s="235"/>
      <c r="C43" s="70" t="s">
        <v>276</v>
      </c>
      <c r="D43" s="69" t="s">
        <v>275</v>
      </c>
      <c r="E43" s="108">
        <v>410</v>
      </c>
      <c r="F43" s="127" t="s">
        <v>274</v>
      </c>
      <c r="G43" s="66">
        <f t="shared" si="39"/>
        <v>865162833</v>
      </c>
      <c r="H43" s="66"/>
      <c r="I43" s="66"/>
      <c r="J43" s="66"/>
      <c r="K43" s="66"/>
      <c r="L43" s="66"/>
      <c r="M43" s="66"/>
      <c r="N43" s="66"/>
      <c r="O43" s="66">
        <f>250000000+410489538+200000000-22086033</f>
        <v>838403505</v>
      </c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>
        <f>36759328-10000000</f>
        <v>26759328</v>
      </c>
      <c r="AE43" s="22">
        <f t="shared" si="29"/>
        <v>0.74509618468550187</v>
      </c>
      <c r="AF43" s="66">
        <f t="shared" si="40"/>
        <v>644629526</v>
      </c>
      <c r="AG43" s="66"/>
      <c r="AH43" s="66"/>
      <c r="AI43" s="66"/>
      <c r="AJ43" s="66"/>
      <c r="AK43" s="66"/>
      <c r="AL43" s="66"/>
      <c r="AM43" s="66"/>
      <c r="AN43" s="66">
        <f>+'[1]OCTUBRE 2019'!$Q$1697</f>
        <v>628629526</v>
      </c>
      <c r="AO43" s="66"/>
      <c r="AP43" s="66"/>
      <c r="AQ43" s="66"/>
      <c r="AR43" s="66"/>
      <c r="AS43" s="66"/>
      <c r="AT43" s="66"/>
      <c r="AU43" s="66"/>
      <c r="AV43" s="66"/>
      <c r="AW43" s="66"/>
      <c r="AX43" s="66"/>
      <c r="AY43" s="66"/>
      <c r="AZ43" s="66"/>
      <c r="BA43" s="66"/>
      <c r="BB43" s="66"/>
      <c r="BC43" s="66">
        <f>+'[2]SEPTIEMBRE 2019'!$AG$1524</f>
        <v>16000000</v>
      </c>
      <c r="BD43" s="22">
        <f t="shared" si="3"/>
        <v>0.25490381531449813</v>
      </c>
      <c r="BE43" s="66">
        <f t="shared" si="41"/>
        <v>220533307</v>
      </c>
      <c r="BF43" s="66">
        <f t="shared" si="42"/>
        <v>0</v>
      </c>
      <c r="BG43" s="66">
        <f t="shared" si="42"/>
        <v>0</v>
      </c>
      <c r="BH43" s="66">
        <f t="shared" si="42"/>
        <v>0</v>
      </c>
      <c r="BI43" s="66">
        <f t="shared" si="43"/>
        <v>0</v>
      </c>
      <c r="BJ43" s="66">
        <f t="shared" si="44"/>
        <v>0</v>
      </c>
      <c r="BK43" s="66">
        <f t="shared" si="44"/>
        <v>0</v>
      </c>
      <c r="BL43" s="66">
        <f t="shared" si="44"/>
        <v>0</v>
      </c>
      <c r="BM43" s="66">
        <f t="shared" si="44"/>
        <v>209773979</v>
      </c>
      <c r="BN43" s="66">
        <f t="shared" si="44"/>
        <v>0</v>
      </c>
      <c r="BO43" s="66">
        <f t="shared" si="44"/>
        <v>0</v>
      </c>
      <c r="BP43" s="66">
        <f t="shared" si="44"/>
        <v>0</v>
      </c>
      <c r="BQ43" s="66">
        <f t="shared" si="44"/>
        <v>0</v>
      </c>
      <c r="BR43" s="66">
        <f t="shared" si="44"/>
        <v>0</v>
      </c>
      <c r="BS43" s="66">
        <f t="shared" si="44"/>
        <v>0</v>
      </c>
      <c r="BT43" s="66">
        <f t="shared" si="44"/>
        <v>0</v>
      </c>
      <c r="BU43" s="66">
        <f t="shared" si="44"/>
        <v>0</v>
      </c>
      <c r="BV43" s="66">
        <f t="shared" si="44"/>
        <v>0</v>
      </c>
      <c r="BW43" s="66">
        <f t="shared" si="44"/>
        <v>0</v>
      </c>
      <c r="BX43" s="66">
        <f t="shared" si="44"/>
        <v>0</v>
      </c>
      <c r="BY43" s="66">
        <f t="shared" si="44"/>
        <v>0</v>
      </c>
      <c r="BZ43" s="66">
        <f t="shared" si="45"/>
        <v>0</v>
      </c>
      <c r="CA43" s="66"/>
      <c r="CB43" s="66">
        <f t="shared" si="46"/>
        <v>10759328</v>
      </c>
      <c r="CC43" s="22">
        <f t="shared" si="8"/>
        <v>0.66970257493712748</v>
      </c>
      <c r="CD43" s="66">
        <f t="shared" si="47"/>
        <v>579401777</v>
      </c>
      <c r="CE43" s="66"/>
      <c r="CF43" s="66"/>
      <c r="CG43" s="66"/>
      <c r="CH43" s="66"/>
      <c r="CI43" s="66"/>
      <c r="CJ43" s="66"/>
      <c r="CK43" s="66"/>
      <c r="CL43" s="66">
        <f>+'[1]OCTUBRE 2019'!$H$1695-DA43</f>
        <v>570442665</v>
      </c>
      <c r="CM43" s="66"/>
      <c r="CN43" s="66"/>
      <c r="CO43" s="66"/>
      <c r="CP43" s="66"/>
      <c r="CQ43" s="66"/>
      <c r="CR43" s="66"/>
      <c r="CS43" s="66"/>
      <c r="CT43" s="66"/>
      <c r="CU43" s="66"/>
      <c r="CV43" s="66"/>
      <c r="CW43" s="66"/>
      <c r="CX43" s="66"/>
      <c r="CY43" s="66"/>
      <c r="CZ43" s="66"/>
      <c r="DA43" s="66">
        <f>+'[1]OCTUBRE 2019'!$H$1740+'[1]OCTUBRE 2019'!$H$1742</f>
        <v>8959112</v>
      </c>
      <c r="DB43" s="22">
        <f t="shared" si="10"/>
        <v>0.33029742506287252</v>
      </c>
      <c r="DC43" s="66">
        <f t="shared" si="48"/>
        <v>285761056</v>
      </c>
      <c r="DD43" s="66">
        <f t="shared" si="49"/>
        <v>0</v>
      </c>
      <c r="DE43" s="66">
        <f t="shared" si="49"/>
        <v>0</v>
      </c>
      <c r="DF43" s="66">
        <f t="shared" si="49"/>
        <v>0</v>
      </c>
      <c r="DG43" s="66">
        <f t="shared" si="49"/>
        <v>0</v>
      </c>
      <c r="DH43" s="66">
        <f t="shared" si="49"/>
        <v>0</v>
      </c>
      <c r="DI43" s="66">
        <f t="shared" si="49"/>
        <v>0</v>
      </c>
      <c r="DJ43" s="66">
        <f t="shared" si="49"/>
        <v>0</v>
      </c>
      <c r="DK43" s="66">
        <f t="shared" si="49"/>
        <v>267960840</v>
      </c>
      <c r="DL43" s="66">
        <f t="shared" si="49"/>
        <v>0</v>
      </c>
      <c r="DM43" s="66">
        <f t="shared" si="49"/>
        <v>0</v>
      </c>
      <c r="DN43" s="66">
        <f t="shared" si="49"/>
        <v>0</v>
      </c>
      <c r="DO43" s="66">
        <f t="shared" si="49"/>
        <v>0</v>
      </c>
      <c r="DP43" s="66">
        <f t="shared" si="49"/>
        <v>0</v>
      </c>
      <c r="DQ43" s="66">
        <f t="shared" si="49"/>
        <v>0</v>
      </c>
      <c r="DR43" s="66">
        <f t="shared" si="49"/>
        <v>0</v>
      </c>
      <c r="DS43" s="66">
        <f t="shared" si="49"/>
        <v>0</v>
      </c>
      <c r="DT43" s="66">
        <f t="shared" si="50"/>
        <v>0</v>
      </c>
      <c r="DU43" s="66">
        <f t="shared" si="50"/>
        <v>0</v>
      </c>
      <c r="DV43" s="66">
        <f t="shared" si="50"/>
        <v>0</v>
      </c>
      <c r="DW43" s="66">
        <f t="shared" si="50"/>
        <v>0</v>
      </c>
      <c r="DX43" s="66">
        <f t="shared" si="50"/>
        <v>0</v>
      </c>
      <c r="DY43" s="66"/>
      <c r="DZ43" s="66">
        <f t="shared" si="51"/>
        <v>17800216</v>
      </c>
      <c r="EC43" s="170">
        <v>865162833</v>
      </c>
      <c r="ED43" s="169">
        <v>579401777</v>
      </c>
      <c r="EE43" s="171">
        <f t="shared" si="52"/>
        <v>0.66970257493712748</v>
      </c>
    </row>
    <row r="44" spans="1:135" ht="43.2" hidden="1" customHeight="1" x14ac:dyDescent="0.3">
      <c r="A44" s="128"/>
      <c r="B44" s="235"/>
      <c r="C44" s="121" t="s">
        <v>273</v>
      </c>
      <c r="D44" s="69" t="s">
        <v>272</v>
      </c>
      <c r="E44" s="124">
        <v>410</v>
      </c>
      <c r="F44" s="67" t="s">
        <v>127</v>
      </c>
      <c r="G44" s="66">
        <f t="shared" si="39"/>
        <v>120369599</v>
      </c>
      <c r="H44" s="66"/>
      <c r="I44" s="66"/>
      <c r="J44" s="66"/>
      <c r="K44" s="66"/>
      <c r="L44" s="66"/>
      <c r="M44" s="66"/>
      <c r="N44" s="66"/>
      <c r="O44" s="66">
        <v>70000000</v>
      </c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>
        <f>35369599+15000000</f>
        <v>50369599</v>
      </c>
      <c r="AA44" s="66"/>
      <c r="AB44" s="66"/>
      <c r="AC44" s="66"/>
      <c r="AD44" s="66"/>
      <c r="AE44" s="22">
        <f t="shared" si="29"/>
        <v>0.85699712267048422</v>
      </c>
      <c r="AF44" s="66">
        <f t="shared" si="40"/>
        <v>103156400</v>
      </c>
      <c r="AG44" s="66"/>
      <c r="AH44" s="66"/>
      <c r="AI44" s="66"/>
      <c r="AJ44" s="66"/>
      <c r="AK44" s="66"/>
      <c r="AL44" s="66"/>
      <c r="AM44" s="66"/>
      <c r="AN44" s="66">
        <f>+'[1]OCTUBRE 2019'!$Q$1751</f>
        <v>68955726</v>
      </c>
      <c r="AO44" s="66"/>
      <c r="AP44" s="66"/>
      <c r="AQ44" s="66"/>
      <c r="AR44" s="66"/>
      <c r="AS44" s="66"/>
      <c r="AT44" s="66"/>
      <c r="AU44" s="66"/>
      <c r="AV44" s="66"/>
      <c r="AW44" s="66"/>
      <c r="AX44" s="66"/>
      <c r="AY44" s="66">
        <f>+'[1]OCTUBRE 2019'!$AB$1751</f>
        <v>34200674</v>
      </c>
      <c r="AZ44" s="66"/>
      <c r="BA44" s="66"/>
      <c r="BB44" s="66"/>
      <c r="BC44" s="66"/>
      <c r="BD44" s="22">
        <f t="shared" si="3"/>
        <v>0.14300287732951578</v>
      </c>
      <c r="BE44" s="66">
        <f t="shared" si="41"/>
        <v>17213199</v>
      </c>
      <c r="BF44" s="66">
        <f t="shared" si="42"/>
        <v>0</v>
      </c>
      <c r="BG44" s="66">
        <f t="shared" si="42"/>
        <v>0</v>
      </c>
      <c r="BH44" s="66">
        <f t="shared" si="42"/>
        <v>0</v>
      </c>
      <c r="BI44" s="66">
        <f t="shared" si="43"/>
        <v>0</v>
      </c>
      <c r="BJ44" s="66">
        <f t="shared" si="44"/>
        <v>0</v>
      </c>
      <c r="BK44" s="66">
        <f t="shared" si="44"/>
        <v>0</v>
      </c>
      <c r="BL44" s="66">
        <f t="shared" si="44"/>
        <v>0</v>
      </c>
      <c r="BM44" s="66">
        <f t="shared" si="44"/>
        <v>1044274</v>
      </c>
      <c r="BN44" s="66">
        <f t="shared" si="44"/>
        <v>0</v>
      </c>
      <c r="BO44" s="66">
        <f t="shared" si="44"/>
        <v>0</v>
      </c>
      <c r="BP44" s="66">
        <f t="shared" si="44"/>
        <v>0</v>
      </c>
      <c r="BQ44" s="66">
        <f t="shared" si="44"/>
        <v>0</v>
      </c>
      <c r="BR44" s="66">
        <f t="shared" si="44"/>
        <v>0</v>
      </c>
      <c r="BS44" s="66">
        <f t="shared" si="44"/>
        <v>0</v>
      </c>
      <c r="BT44" s="66">
        <f t="shared" si="44"/>
        <v>0</v>
      </c>
      <c r="BU44" s="66">
        <f t="shared" si="44"/>
        <v>0</v>
      </c>
      <c r="BV44" s="66">
        <f t="shared" si="44"/>
        <v>0</v>
      </c>
      <c r="BW44" s="66">
        <f t="shared" si="44"/>
        <v>0</v>
      </c>
      <c r="BX44" s="66">
        <f t="shared" si="44"/>
        <v>16168925</v>
      </c>
      <c r="BY44" s="66">
        <f t="shared" si="44"/>
        <v>0</v>
      </c>
      <c r="BZ44" s="66">
        <f t="shared" si="45"/>
        <v>0</v>
      </c>
      <c r="CA44" s="66"/>
      <c r="CB44" s="66">
        <f t="shared" si="46"/>
        <v>0</v>
      </c>
      <c r="CC44" s="22">
        <f t="shared" si="8"/>
        <v>0.84038163157792023</v>
      </c>
      <c r="CD44" s="66">
        <f t="shared" si="47"/>
        <v>101156400</v>
      </c>
      <c r="CE44" s="66"/>
      <c r="CF44" s="66"/>
      <c r="CG44" s="66"/>
      <c r="CH44" s="66"/>
      <c r="CI44" s="66"/>
      <c r="CJ44" s="66"/>
      <c r="CK44" s="66"/>
      <c r="CL44" s="66">
        <f>+'[1]OCTUBRE 2019'!$H$1749-CW44</f>
        <v>68955726</v>
      </c>
      <c r="CM44" s="66"/>
      <c r="CN44" s="66"/>
      <c r="CO44" s="66"/>
      <c r="CP44" s="66"/>
      <c r="CQ44" s="66"/>
      <c r="CR44" s="66"/>
      <c r="CS44" s="66"/>
      <c r="CT44" s="66"/>
      <c r="CU44" s="66"/>
      <c r="CV44" s="66"/>
      <c r="CW44" s="66">
        <f>+'[1]OCTUBRE 2019'!$H$1789+'[1]OCTUBRE 2019'!$H$1790+'[1]OCTUBRE 2019'!$H$1791+'[1]OCTUBRE 2019'!$H$1792+'[1]OCTUBRE 2019'!$H$1793+'[1]OCTUBRE 2019'!$H$1796+'[1]OCTUBRE 2019'!$H$1799+'[1]OCTUBRE 2019'!$H$1804+'[1]OCTUBRE 2019'!$H$1805+'[1]OCTUBRE 2019'!$H$1806+'[1]OCTUBRE 2019'!$H$1807+'[1]OCTUBRE 2019'!$H$1808+'[1]OCTUBRE 2019'!$H$1809</f>
        <v>32200674</v>
      </c>
      <c r="CX44" s="66"/>
      <c r="CY44" s="66"/>
      <c r="CZ44" s="66"/>
      <c r="DA44" s="66"/>
      <c r="DB44" s="22">
        <f t="shared" si="10"/>
        <v>0.15961836842207977</v>
      </c>
      <c r="DC44" s="66">
        <f t="shared" si="48"/>
        <v>19213199</v>
      </c>
      <c r="DD44" s="66">
        <f t="shared" si="49"/>
        <v>0</v>
      </c>
      <c r="DE44" s="66">
        <f t="shared" si="49"/>
        <v>0</v>
      </c>
      <c r="DF44" s="66">
        <f t="shared" si="49"/>
        <v>0</v>
      </c>
      <c r="DG44" s="66">
        <f t="shared" si="49"/>
        <v>0</v>
      </c>
      <c r="DH44" s="66">
        <f t="shared" si="49"/>
        <v>0</v>
      </c>
      <c r="DI44" s="66">
        <f t="shared" si="49"/>
        <v>0</v>
      </c>
      <c r="DJ44" s="66">
        <f t="shared" si="49"/>
        <v>0</v>
      </c>
      <c r="DK44" s="66">
        <f t="shared" si="49"/>
        <v>1044274</v>
      </c>
      <c r="DL44" s="66">
        <f t="shared" si="49"/>
        <v>0</v>
      </c>
      <c r="DM44" s="66">
        <f t="shared" si="49"/>
        <v>0</v>
      </c>
      <c r="DN44" s="66">
        <f t="shared" si="49"/>
        <v>0</v>
      </c>
      <c r="DO44" s="66">
        <f t="shared" si="49"/>
        <v>0</v>
      </c>
      <c r="DP44" s="66">
        <f t="shared" si="49"/>
        <v>0</v>
      </c>
      <c r="DQ44" s="66">
        <f t="shared" si="49"/>
        <v>0</v>
      </c>
      <c r="DR44" s="66">
        <f t="shared" si="49"/>
        <v>0</v>
      </c>
      <c r="DS44" s="66">
        <f t="shared" si="49"/>
        <v>0</v>
      </c>
      <c r="DT44" s="66">
        <f t="shared" si="50"/>
        <v>0</v>
      </c>
      <c r="DU44" s="66">
        <f t="shared" si="50"/>
        <v>0</v>
      </c>
      <c r="DV44" s="66">
        <f t="shared" si="50"/>
        <v>18168925</v>
      </c>
      <c r="DW44" s="66">
        <f t="shared" si="50"/>
        <v>0</v>
      </c>
      <c r="DX44" s="66">
        <f t="shared" si="50"/>
        <v>0</v>
      </c>
      <c r="DY44" s="66"/>
      <c r="DZ44" s="66">
        <f t="shared" si="51"/>
        <v>0</v>
      </c>
      <c r="EC44" s="170">
        <v>120369599</v>
      </c>
      <c r="ED44" s="169">
        <v>101156400</v>
      </c>
      <c r="EE44" s="171">
        <f t="shared" si="52"/>
        <v>0.84038163157792023</v>
      </c>
    </row>
    <row r="45" spans="1:135" ht="30.75" hidden="1" customHeight="1" x14ac:dyDescent="0.3">
      <c r="A45" s="128"/>
      <c r="B45" s="237" t="s">
        <v>271</v>
      </c>
      <c r="C45" s="101" t="s">
        <v>270</v>
      </c>
      <c r="D45" s="69" t="s">
        <v>269</v>
      </c>
      <c r="E45" s="124">
        <v>410</v>
      </c>
      <c r="F45" s="67" t="s">
        <v>268</v>
      </c>
      <c r="G45" s="66">
        <f t="shared" si="39"/>
        <v>83000000</v>
      </c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>
        <v>5000000</v>
      </c>
      <c r="U45" s="66">
        <v>10000000</v>
      </c>
      <c r="V45" s="66">
        <f>5000000+15000000</f>
        <v>20000000</v>
      </c>
      <c r="W45" s="66"/>
      <c r="X45" s="66"/>
      <c r="Y45" s="66"/>
      <c r="Z45" s="66">
        <v>20000000</v>
      </c>
      <c r="AA45" s="66"/>
      <c r="AB45" s="66"/>
      <c r="AC45" s="66"/>
      <c r="AD45" s="66">
        <f>20000000+18000000-10000000</f>
        <v>28000000</v>
      </c>
      <c r="AE45" s="22">
        <f t="shared" si="29"/>
        <v>0.47637780722891565</v>
      </c>
      <c r="AF45" s="66">
        <f t="shared" si="40"/>
        <v>39539358</v>
      </c>
      <c r="AG45" s="66"/>
      <c r="AH45" s="66"/>
      <c r="AI45" s="66"/>
      <c r="AJ45" s="66"/>
      <c r="AK45" s="66"/>
      <c r="AL45" s="66"/>
      <c r="AM45" s="66"/>
      <c r="AN45" s="66"/>
      <c r="AO45" s="66"/>
      <c r="AP45" s="66"/>
      <c r="AQ45" s="66"/>
      <c r="AR45" s="66"/>
      <c r="AS45" s="66">
        <f>+'[1]OCTUBRE 2019'!$V$1846</f>
        <v>1614681</v>
      </c>
      <c r="AT45" s="66">
        <f>+'[1]OCTUBRE 2019'!$W$1846</f>
        <v>2065739</v>
      </c>
      <c r="AU45" s="66">
        <f>+'[1]OCTUBRE 2019'!$X$1846</f>
        <v>2592938</v>
      </c>
      <c r="AV45" s="66"/>
      <c r="AW45" s="66"/>
      <c r="AX45" s="66"/>
      <c r="AY45" s="66">
        <f>+'[1]OCTUBRE 2019'!$AB$1846</f>
        <v>5266000</v>
      </c>
      <c r="AZ45" s="66"/>
      <c r="BA45" s="66"/>
      <c r="BB45" s="66"/>
      <c r="BC45" s="66">
        <f>+'[11]JULIO 2019'!$AF$1214</f>
        <v>28000000</v>
      </c>
      <c r="BD45" s="22">
        <f t="shared" si="3"/>
        <v>0.52362219277108435</v>
      </c>
      <c r="BE45" s="66">
        <f t="shared" si="41"/>
        <v>43460642</v>
      </c>
      <c r="BF45" s="66">
        <f t="shared" si="42"/>
        <v>0</v>
      </c>
      <c r="BG45" s="66">
        <f t="shared" si="42"/>
        <v>0</v>
      </c>
      <c r="BH45" s="66">
        <f t="shared" si="42"/>
        <v>0</v>
      </c>
      <c r="BI45" s="66">
        <f t="shared" si="43"/>
        <v>0</v>
      </c>
      <c r="BJ45" s="66">
        <f t="shared" si="44"/>
        <v>0</v>
      </c>
      <c r="BK45" s="66">
        <f t="shared" si="44"/>
        <v>0</v>
      </c>
      <c r="BL45" s="66">
        <f t="shared" si="44"/>
        <v>0</v>
      </c>
      <c r="BM45" s="66">
        <f t="shared" si="44"/>
        <v>0</v>
      </c>
      <c r="BN45" s="66">
        <f t="shared" si="44"/>
        <v>0</v>
      </c>
      <c r="BO45" s="66">
        <f t="shared" si="44"/>
        <v>0</v>
      </c>
      <c r="BP45" s="66">
        <f t="shared" si="44"/>
        <v>0</v>
      </c>
      <c r="BQ45" s="66">
        <f t="shared" si="44"/>
        <v>0</v>
      </c>
      <c r="BR45" s="66">
        <f t="shared" si="44"/>
        <v>3385319</v>
      </c>
      <c r="BS45" s="66">
        <f t="shared" si="44"/>
        <v>7934261</v>
      </c>
      <c r="BT45" s="66">
        <f t="shared" si="44"/>
        <v>17407062</v>
      </c>
      <c r="BU45" s="66">
        <f t="shared" si="44"/>
        <v>0</v>
      </c>
      <c r="BV45" s="66">
        <f t="shared" si="44"/>
        <v>0</v>
      </c>
      <c r="BW45" s="66">
        <f t="shared" si="44"/>
        <v>0</v>
      </c>
      <c r="BX45" s="66">
        <f t="shared" si="44"/>
        <v>14734000</v>
      </c>
      <c r="BY45" s="66">
        <f t="shared" si="44"/>
        <v>0</v>
      </c>
      <c r="BZ45" s="66">
        <f t="shared" si="45"/>
        <v>0</v>
      </c>
      <c r="CA45" s="66"/>
      <c r="CB45" s="66">
        <f t="shared" si="46"/>
        <v>0</v>
      </c>
      <c r="CC45" s="22">
        <f t="shared" si="8"/>
        <v>0.31828945783132528</v>
      </c>
      <c r="CD45" s="66">
        <f t="shared" si="47"/>
        <v>26418025</v>
      </c>
      <c r="CE45" s="66"/>
      <c r="CF45" s="66"/>
      <c r="CG45" s="66"/>
      <c r="CH45" s="66"/>
      <c r="CI45" s="66"/>
      <c r="CJ45" s="66"/>
      <c r="CK45" s="66"/>
      <c r="CL45" s="66"/>
      <c r="CM45" s="66"/>
      <c r="CN45" s="66"/>
      <c r="CO45" s="66"/>
      <c r="CP45" s="66"/>
      <c r="CQ45" s="66">
        <f>+'[1]OCTUBRE 2019'!$H$1852+'[1]OCTUBRE 2019'!$H$1860+'[1]OCTUBRE 2019'!$H$1875</f>
        <v>1614681</v>
      </c>
      <c r="CR45" s="66">
        <f>+'[1]OCTUBRE 2019'!$W$1854+'[1]OCTUBRE 2019'!$H$1859+'[1]OCTUBRE 2019'!$H$1861+'[1]OCTUBRE 2019'!$H$1876</f>
        <v>2065739</v>
      </c>
      <c r="CS45" s="66">
        <f>+'[1]OCTUBRE 2019'!$H$1856+'[1]OCTUBRE 2019'!$H$1862+'[1]OCTUBRE 2019'!$H$1877+'[1]OCTUBRE 2019'!$H$1878</f>
        <v>2592938</v>
      </c>
      <c r="CT45" s="66"/>
      <c r="CU45" s="66"/>
      <c r="CV45" s="66"/>
      <c r="CW45" s="66">
        <f>+'[1]OCTUBRE 2019'!$H$1867+'[1]OCTUBRE 2019'!$H$1872+'[1]OCTUBRE 2019'!$H$1873</f>
        <v>5266000</v>
      </c>
      <c r="CX45" s="66"/>
      <c r="CY45" s="66"/>
      <c r="CZ45" s="66"/>
      <c r="DA45" s="66">
        <f>+'[1]OCTUBRE 2019'!$H$1847+'[1]OCTUBRE 2019'!$H$1863+'[1]OCTUBRE 2019'!$H$1869</f>
        <v>14878667</v>
      </c>
      <c r="DB45" s="22">
        <f t="shared" si="10"/>
        <v>0.68171054216867466</v>
      </c>
      <c r="DC45" s="66">
        <f t="shared" si="48"/>
        <v>56581975</v>
      </c>
      <c r="DD45" s="66">
        <f t="shared" si="49"/>
        <v>0</v>
      </c>
      <c r="DE45" s="66">
        <f t="shared" si="49"/>
        <v>0</v>
      </c>
      <c r="DF45" s="66">
        <f t="shared" si="49"/>
        <v>0</v>
      </c>
      <c r="DG45" s="66">
        <f t="shared" si="49"/>
        <v>0</v>
      </c>
      <c r="DH45" s="66">
        <f t="shared" si="49"/>
        <v>0</v>
      </c>
      <c r="DI45" s="66">
        <f t="shared" si="49"/>
        <v>0</v>
      </c>
      <c r="DJ45" s="66">
        <f t="shared" si="49"/>
        <v>0</v>
      </c>
      <c r="DK45" s="66">
        <f t="shared" si="49"/>
        <v>0</v>
      </c>
      <c r="DL45" s="66">
        <f t="shared" si="49"/>
        <v>0</v>
      </c>
      <c r="DM45" s="66">
        <f t="shared" si="49"/>
        <v>0</v>
      </c>
      <c r="DN45" s="66">
        <f t="shared" si="49"/>
        <v>0</v>
      </c>
      <c r="DO45" s="66">
        <f t="shared" si="49"/>
        <v>0</v>
      </c>
      <c r="DP45" s="66">
        <f t="shared" si="49"/>
        <v>3385319</v>
      </c>
      <c r="DQ45" s="66">
        <f t="shared" si="49"/>
        <v>7934261</v>
      </c>
      <c r="DR45" s="66">
        <f t="shared" si="49"/>
        <v>17407062</v>
      </c>
      <c r="DS45" s="66">
        <f t="shared" si="49"/>
        <v>0</v>
      </c>
      <c r="DT45" s="66">
        <f t="shared" si="50"/>
        <v>0</v>
      </c>
      <c r="DU45" s="66">
        <f t="shared" si="50"/>
        <v>0</v>
      </c>
      <c r="DV45" s="66">
        <f t="shared" si="50"/>
        <v>14734000</v>
      </c>
      <c r="DW45" s="66">
        <f t="shared" si="50"/>
        <v>0</v>
      </c>
      <c r="DX45" s="66">
        <f t="shared" si="50"/>
        <v>0</v>
      </c>
      <c r="DY45" s="66"/>
      <c r="DZ45" s="66">
        <f t="shared" si="51"/>
        <v>13121333</v>
      </c>
      <c r="EC45" s="170">
        <v>83000000</v>
      </c>
      <c r="ED45" s="169">
        <v>26418025</v>
      </c>
      <c r="EE45" s="171">
        <f t="shared" si="52"/>
        <v>0.31828945783132528</v>
      </c>
    </row>
    <row r="46" spans="1:135" ht="54.6" hidden="1" customHeight="1" x14ac:dyDescent="0.3">
      <c r="A46" s="128"/>
      <c r="B46" s="237"/>
      <c r="C46" s="121" t="s">
        <v>267</v>
      </c>
      <c r="D46" s="69" t="s">
        <v>266</v>
      </c>
      <c r="E46" s="124">
        <v>410</v>
      </c>
      <c r="F46" s="67" t="s">
        <v>256</v>
      </c>
      <c r="G46" s="66">
        <f t="shared" si="39"/>
        <v>30000000</v>
      </c>
      <c r="H46" s="66"/>
      <c r="I46" s="66"/>
      <c r="J46" s="66"/>
      <c r="K46" s="66"/>
      <c r="L46" s="66"/>
      <c r="M46" s="66"/>
      <c r="N46" s="66"/>
      <c r="O46" s="66">
        <v>10000000</v>
      </c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>
        <v>20000000</v>
      </c>
      <c r="AA46" s="66"/>
      <c r="AB46" s="66"/>
      <c r="AC46" s="66"/>
      <c r="AD46" s="66"/>
      <c r="AE46" s="22">
        <f t="shared" si="29"/>
        <v>0.92900173333333336</v>
      </c>
      <c r="AF46" s="66">
        <f t="shared" si="40"/>
        <v>27870052</v>
      </c>
      <c r="AG46" s="66"/>
      <c r="AH46" s="66"/>
      <c r="AI46" s="66"/>
      <c r="AJ46" s="66"/>
      <c r="AK46" s="66"/>
      <c r="AL46" s="66"/>
      <c r="AM46" s="66"/>
      <c r="AN46" s="66">
        <f>+'[11]JULIO 2019'!$P$1244</f>
        <v>8000000</v>
      </c>
      <c r="AO46" s="66"/>
      <c r="AP46" s="66"/>
      <c r="AQ46" s="66"/>
      <c r="AR46" s="66"/>
      <c r="AS46" s="66"/>
      <c r="AT46" s="66"/>
      <c r="AU46" s="66"/>
      <c r="AV46" s="66"/>
      <c r="AW46" s="66"/>
      <c r="AX46" s="66"/>
      <c r="AY46" s="66">
        <f>+'[2]SEPTIEMBRE 2019'!$AB$1683</f>
        <v>19870052</v>
      </c>
      <c r="AZ46" s="66"/>
      <c r="BA46" s="66"/>
      <c r="BB46" s="66"/>
      <c r="BC46" s="66"/>
      <c r="BD46" s="22">
        <f t="shared" si="3"/>
        <v>7.0998266666666643E-2</v>
      </c>
      <c r="BE46" s="66">
        <f t="shared" si="41"/>
        <v>2129948</v>
      </c>
      <c r="BF46" s="66">
        <f t="shared" si="42"/>
        <v>0</v>
      </c>
      <c r="BG46" s="66">
        <f t="shared" si="42"/>
        <v>0</v>
      </c>
      <c r="BH46" s="66">
        <f t="shared" si="42"/>
        <v>0</v>
      </c>
      <c r="BI46" s="66">
        <f t="shared" si="43"/>
        <v>0</v>
      </c>
      <c r="BJ46" s="66">
        <f t="shared" si="44"/>
        <v>0</v>
      </c>
      <c r="BK46" s="66">
        <f t="shared" si="44"/>
        <v>0</v>
      </c>
      <c r="BL46" s="66">
        <f t="shared" si="44"/>
        <v>0</v>
      </c>
      <c r="BM46" s="66">
        <f t="shared" si="44"/>
        <v>2000000</v>
      </c>
      <c r="BN46" s="66">
        <f t="shared" si="44"/>
        <v>0</v>
      </c>
      <c r="BO46" s="66">
        <f t="shared" si="44"/>
        <v>0</v>
      </c>
      <c r="BP46" s="66">
        <f t="shared" si="44"/>
        <v>0</v>
      </c>
      <c r="BQ46" s="66">
        <f t="shared" si="44"/>
        <v>0</v>
      </c>
      <c r="BR46" s="66">
        <f t="shared" si="44"/>
        <v>0</v>
      </c>
      <c r="BS46" s="66">
        <f t="shared" si="44"/>
        <v>0</v>
      </c>
      <c r="BT46" s="66">
        <f t="shared" si="44"/>
        <v>0</v>
      </c>
      <c r="BU46" s="66">
        <f t="shared" si="44"/>
        <v>0</v>
      </c>
      <c r="BV46" s="66">
        <f t="shared" si="44"/>
        <v>0</v>
      </c>
      <c r="BW46" s="66">
        <f t="shared" si="44"/>
        <v>0</v>
      </c>
      <c r="BX46" s="66">
        <f t="shared" si="44"/>
        <v>129948</v>
      </c>
      <c r="BY46" s="66">
        <f t="shared" si="44"/>
        <v>0</v>
      </c>
      <c r="BZ46" s="66">
        <f t="shared" si="45"/>
        <v>0</v>
      </c>
      <c r="CA46" s="66"/>
      <c r="CB46" s="66">
        <f t="shared" si="46"/>
        <v>0</v>
      </c>
      <c r="CC46" s="22">
        <f t="shared" si="8"/>
        <v>0.9269797666666667</v>
      </c>
      <c r="CD46" s="66">
        <f t="shared" si="47"/>
        <v>27809393</v>
      </c>
      <c r="CE46" s="66"/>
      <c r="CF46" s="66"/>
      <c r="CG46" s="66"/>
      <c r="CH46" s="66"/>
      <c r="CI46" s="66"/>
      <c r="CJ46" s="66"/>
      <c r="CK46" s="66"/>
      <c r="CL46" s="66">
        <f>+'[11]JULIO 2019'!$H$1256</f>
        <v>7943538</v>
      </c>
      <c r="CM46" s="66"/>
      <c r="CN46" s="66"/>
      <c r="CO46" s="66"/>
      <c r="CP46" s="66"/>
      <c r="CQ46" s="66"/>
      <c r="CR46" s="66"/>
      <c r="CS46" s="66"/>
      <c r="CT46" s="66"/>
      <c r="CU46" s="66"/>
      <c r="CV46" s="66"/>
      <c r="CW46" s="66">
        <f>+'[2]SEPTIEMBRE 2019'!$H$1681-CL46</f>
        <v>19865855</v>
      </c>
      <c r="CX46" s="66"/>
      <c r="CY46" s="66"/>
      <c r="CZ46" s="66"/>
      <c r="DA46" s="66"/>
      <c r="DB46" s="22">
        <f t="shared" si="10"/>
        <v>7.3020233333333295E-2</v>
      </c>
      <c r="DC46" s="66">
        <f t="shared" si="48"/>
        <v>2190607</v>
      </c>
      <c r="DD46" s="66">
        <f t="shared" si="49"/>
        <v>0</v>
      </c>
      <c r="DE46" s="66">
        <f t="shared" si="49"/>
        <v>0</v>
      </c>
      <c r="DF46" s="66">
        <f t="shared" si="49"/>
        <v>0</v>
      </c>
      <c r="DG46" s="66">
        <f t="shared" si="49"/>
        <v>0</v>
      </c>
      <c r="DH46" s="66">
        <f t="shared" si="49"/>
        <v>0</v>
      </c>
      <c r="DI46" s="66">
        <f t="shared" si="49"/>
        <v>0</v>
      </c>
      <c r="DJ46" s="66">
        <f t="shared" si="49"/>
        <v>0</v>
      </c>
      <c r="DK46" s="66">
        <f t="shared" si="49"/>
        <v>2056462</v>
      </c>
      <c r="DL46" s="66">
        <f t="shared" si="49"/>
        <v>0</v>
      </c>
      <c r="DM46" s="66">
        <f t="shared" si="49"/>
        <v>0</v>
      </c>
      <c r="DN46" s="66">
        <f t="shared" si="49"/>
        <v>0</v>
      </c>
      <c r="DO46" s="66">
        <f t="shared" si="49"/>
        <v>0</v>
      </c>
      <c r="DP46" s="66">
        <f t="shared" si="49"/>
        <v>0</v>
      </c>
      <c r="DQ46" s="66">
        <f t="shared" si="49"/>
        <v>0</v>
      </c>
      <c r="DR46" s="66">
        <f t="shared" si="49"/>
        <v>0</v>
      </c>
      <c r="DS46" s="66">
        <f t="shared" si="49"/>
        <v>0</v>
      </c>
      <c r="DT46" s="66">
        <f t="shared" si="50"/>
        <v>0</v>
      </c>
      <c r="DU46" s="66">
        <f t="shared" si="50"/>
        <v>0</v>
      </c>
      <c r="DV46" s="66">
        <f t="shared" si="50"/>
        <v>134145</v>
      </c>
      <c r="DW46" s="66">
        <f t="shared" si="50"/>
        <v>0</v>
      </c>
      <c r="DX46" s="66">
        <f t="shared" si="50"/>
        <v>0</v>
      </c>
      <c r="DY46" s="66"/>
      <c r="DZ46" s="66">
        <f t="shared" si="51"/>
        <v>0</v>
      </c>
      <c r="EC46" s="170">
        <v>30000000</v>
      </c>
      <c r="ED46" s="169">
        <v>27809393</v>
      </c>
      <c r="EE46" s="171">
        <f t="shared" si="52"/>
        <v>0.9269797666666667</v>
      </c>
    </row>
    <row r="47" spans="1:135" ht="46.8" hidden="1" customHeight="1" x14ac:dyDescent="0.3">
      <c r="A47" s="128"/>
      <c r="B47" s="237"/>
      <c r="C47" s="121" t="s">
        <v>265</v>
      </c>
      <c r="D47" s="69" t="s">
        <v>264</v>
      </c>
      <c r="E47" s="124">
        <v>410</v>
      </c>
      <c r="F47" s="67" t="s">
        <v>263</v>
      </c>
      <c r="G47" s="66">
        <f t="shared" si="39"/>
        <v>175597081</v>
      </c>
      <c r="H47" s="66"/>
      <c r="I47" s="66"/>
      <c r="J47" s="66"/>
      <c r="K47" s="66"/>
      <c r="L47" s="66"/>
      <c r="M47" s="66"/>
      <c r="N47" s="66"/>
      <c r="O47" s="66">
        <f>60000000-10000000</f>
        <v>50000000</v>
      </c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>
        <f>70000000+20000000+15000000+15597081+5000000</f>
        <v>125597081</v>
      </c>
      <c r="AE47" s="22">
        <f t="shared" si="29"/>
        <v>0.67934837140031956</v>
      </c>
      <c r="AF47" s="66">
        <f t="shared" si="40"/>
        <v>119291591</v>
      </c>
      <c r="AG47" s="66"/>
      <c r="AH47" s="66"/>
      <c r="AI47" s="66"/>
      <c r="AJ47" s="66"/>
      <c r="AK47" s="66"/>
      <c r="AL47" s="66"/>
      <c r="AM47" s="66"/>
      <c r="AN47" s="66">
        <f>+'[1]OCTUBRE 2019'!$Q$1906</f>
        <v>49002673</v>
      </c>
      <c r="AO47" s="66"/>
      <c r="AP47" s="66"/>
      <c r="AQ47" s="66"/>
      <c r="AR47" s="66"/>
      <c r="AS47" s="66"/>
      <c r="AT47" s="66"/>
      <c r="AU47" s="66"/>
      <c r="AV47" s="66"/>
      <c r="AW47" s="66"/>
      <c r="AX47" s="66"/>
      <c r="AY47" s="66"/>
      <c r="AZ47" s="66"/>
      <c r="BA47" s="66"/>
      <c r="BB47" s="66"/>
      <c r="BC47" s="66">
        <f>+'[1]OCTUBRE 2019'!$AG$1906</f>
        <v>70288918</v>
      </c>
      <c r="BD47" s="22">
        <f t="shared" si="3"/>
        <v>0.32065162859968044</v>
      </c>
      <c r="BE47" s="66">
        <f t="shared" si="41"/>
        <v>56305490</v>
      </c>
      <c r="BF47" s="66">
        <f t="shared" si="42"/>
        <v>0</v>
      </c>
      <c r="BG47" s="66">
        <f t="shared" si="42"/>
        <v>0</v>
      </c>
      <c r="BH47" s="66">
        <f t="shared" si="42"/>
        <v>0</v>
      </c>
      <c r="BI47" s="66">
        <f t="shared" si="43"/>
        <v>0</v>
      </c>
      <c r="BJ47" s="66">
        <f t="shared" si="44"/>
        <v>0</v>
      </c>
      <c r="BK47" s="66">
        <f t="shared" si="44"/>
        <v>0</v>
      </c>
      <c r="BL47" s="66">
        <f t="shared" si="44"/>
        <v>0</v>
      </c>
      <c r="BM47" s="66">
        <f t="shared" si="44"/>
        <v>997327</v>
      </c>
      <c r="BN47" s="66">
        <f t="shared" si="44"/>
        <v>0</v>
      </c>
      <c r="BO47" s="66">
        <f t="shared" si="44"/>
        <v>0</v>
      </c>
      <c r="BP47" s="66">
        <f t="shared" si="44"/>
        <v>0</v>
      </c>
      <c r="BQ47" s="66">
        <f t="shared" si="44"/>
        <v>0</v>
      </c>
      <c r="BR47" s="66">
        <f t="shared" si="44"/>
        <v>0</v>
      </c>
      <c r="BS47" s="66">
        <f t="shared" si="44"/>
        <v>0</v>
      </c>
      <c r="BT47" s="66">
        <f t="shared" si="44"/>
        <v>0</v>
      </c>
      <c r="BU47" s="66">
        <f t="shared" si="44"/>
        <v>0</v>
      </c>
      <c r="BV47" s="66">
        <f t="shared" si="44"/>
        <v>0</v>
      </c>
      <c r="BW47" s="66">
        <f t="shared" si="44"/>
        <v>0</v>
      </c>
      <c r="BX47" s="66">
        <f t="shared" si="44"/>
        <v>0</v>
      </c>
      <c r="BY47" s="66">
        <f t="shared" si="44"/>
        <v>0</v>
      </c>
      <c r="BZ47" s="66">
        <f t="shared" si="45"/>
        <v>0</v>
      </c>
      <c r="CA47" s="66"/>
      <c r="CB47" s="66">
        <f t="shared" si="46"/>
        <v>55308163</v>
      </c>
      <c r="CC47" s="22">
        <f t="shared" si="8"/>
        <v>0.59887956224055916</v>
      </c>
      <c r="CD47" s="66">
        <f t="shared" si="47"/>
        <v>105161503</v>
      </c>
      <c r="CE47" s="66"/>
      <c r="CF47" s="66"/>
      <c r="CG47" s="66"/>
      <c r="CH47" s="66"/>
      <c r="CI47" s="66"/>
      <c r="CJ47" s="66"/>
      <c r="CK47" s="66"/>
      <c r="CL47" s="66">
        <f>+'[1]OCTUBRE 2019'!$H$1916+'[1]OCTUBRE 2019'!$H$1917+'[1]OCTUBRE 2019'!$H$1918+'[1]OCTUBRE 2019'!$H$1929+'[1]OCTUBRE 2019'!$H$1930+'[1]OCTUBRE 2019'!$H$1935+'[1]OCTUBRE 2019'!$H$1941+'[1]OCTUBRE 2019'!$H$1943+'[1]OCTUBRE 2019'!$H$1944+'[1]OCTUBRE 2019'!$H$1947+'[1]OCTUBRE 2019'!$H$1949+'[1]OCTUBRE 2019'!$H$1950+'[1]OCTUBRE 2019'!$H$1951+'[1]OCTUBRE 2019'!$H$1952+'[1]OCTUBRE 2019'!$H$1955+'[1]OCTUBRE 2019'!$H$1956+'[1]OCTUBRE 2019'!$H$1961+'[1]OCTUBRE 2019'!$H$1962+'[1]OCTUBRE 2019'!$H$1963+'[1]OCTUBRE 2019'!$H$1964+'[1]OCTUBRE 2019'!$H$1965+'[1]OCTUBRE 2019'!$H$1966+'[1]OCTUBRE 2019'!$H$1967</f>
        <v>49002673</v>
      </c>
      <c r="CM47" s="66"/>
      <c r="CN47" s="66"/>
      <c r="CO47" s="66"/>
      <c r="CP47" s="66"/>
      <c r="CQ47" s="66"/>
      <c r="CR47" s="66"/>
      <c r="CS47" s="66"/>
      <c r="CT47" s="66"/>
      <c r="CU47" s="66"/>
      <c r="CV47" s="66"/>
      <c r="CW47" s="66"/>
      <c r="CX47" s="66"/>
      <c r="CY47" s="66"/>
      <c r="CZ47" s="66"/>
      <c r="DA47" s="66">
        <f>+'[1]OCTUBRE 2019'!$H$1904-CL47</f>
        <v>56158830</v>
      </c>
      <c r="DB47" s="22">
        <f t="shared" si="10"/>
        <v>0.40112043775944084</v>
      </c>
      <c r="DC47" s="66">
        <f t="shared" si="48"/>
        <v>70435578</v>
      </c>
      <c r="DD47" s="66">
        <f t="shared" si="49"/>
        <v>0</v>
      </c>
      <c r="DE47" s="66">
        <f t="shared" si="49"/>
        <v>0</v>
      </c>
      <c r="DF47" s="66">
        <f t="shared" si="49"/>
        <v>0</v>
      </c>
      <c r="DG47" s="66">
        <f t="shared" si="49"/>
        <v>0</v>
      </c>
      <c r="DH47" s="66">
        <f t="shared" si="49"/>
        <v>0</v>
      </c>
      <c r="DI47" s="66">
        <f t="shared" si="49"/>
        <v>0</v>
      </c>
      <c r="DJ47" s="66">
        <f t="shared" si="49"/>
        <v>0</v>
      </c>
      <c r="DK47" s="66">
        <f t="shared" si="49"/>
        <v>997327</v>
      </c>
      <c r="DL47" s="66">
        <f t="shared" si="49"/>
        <v>0</v>
      </c>
      <c r="DM47" s="66">
        <f t="shared" si="49"/>
        <v>0</v>
      </c>
      <c r="DN47" s="66">
        <f t="shared" si="49"/>
        <v>0</v>
      </c>
      <c r="DO47" s="66">
        <f t="shared" si="49"/>
        <v>0</v>
      </c>
      <c r="DP47" s="66">
        <f t="shared" si="49"/>
        <v>0</v>
      </c>
      <c r="DQ47" s="66">
        <f t="shared" si="49"/>
        <v>0</v>
      </c>
      <c r="DR47" s="66">
        <f t="shared" si="49"/>
        <v>0</v>
      </c>
      <c r="DS47" s="66">
        <f t="shared" si="49"/>
        <v>0</v>
      </c>
      <c r="DT47" s="66">
        <f t="shared" si="50"/>
        <v>0</v>
      </c>
      <c r="DU47" s="66">
        <f t="shared" si="50"/>
        <v>0</v>
      </c>
      <c r="DV47" s="66">
        <f t="shared" si="50"/>
        <v>0</v>
      </c>
      <c r="DW47" s="66">
        <f t="shared" si="50"/>
        <v>0</v>
      </c>
      <c r="DX47" s="66">
        <f t="shared" si="50"/>
        <v>0</v>
      </c>
      <c r="DY47" s="66"/>
      <c r="DZ47" s="66">
        <f t="shared" si="51"/>
        <v>69438251</v>
      </c>
      <c r="EC47" s="170">
        <v>175597081</v>
      </c>
      <c r="ED47" s="169">
        <v>105161503</v>
      </c>
      <c r="EE47" s="171">
        <f t="shared" si="52"/>
        <v>0.59887956224055916</v>
      </c>
    </row>
    <row r="48" spans="1:135" ht="29.4" hidden="1" customHeight="1" x14ac:dyDescent="0.3">
      <c r="A48" s="128"/>
      <c r="B48" s="237"/>
      <c r="C48" s="121" t="s">
        <v>262</v>
      </c>
      <c r="D48" s="69" t="s">
        <v>261</v>
      </c>
      <c r="E48" s="124">
        <v>410</v>
      </c>
      <c r="F48" s="67" t="s">
        <v>127</v>
      </c>
      <c r="G48" s="66">
        <f t="shared" si="39"/>
        <v>0</v>
      </c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22" t="e">
        <f t="shared" si="29"/>
        <v>#DIV/0!</v>
      </c>
      <c r="AF48" s="66">
        <f t="shared" si="40"/>
        <v>0</v>
      </c>
      <c r="AG48" s="66"/>
      <c r="AH48" s="66"/>
      <c r="AI48" s="66"/>
      <c r="AJ48" s="66"/>
      <c r="AK48" s="66"/>
      <c r="AL48" s="66"/>
      <c r="AM48" s="66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6"/>
      <c r="AY48" s="66"/>
      <c r="AZ48" s="66"/>
      <c r="BA48" s="66"/>
      <c r="BB48" s="66"/>
      <c r="BC48" s="66"/>
      <c r="BD48" s="22" t="e">
        <f t="shared" si="3"/>
        <v>#DIV/0!</v>
      </c>
      <c r="BE48" s="66">
        <f t="shared" si="41"/>
        <v>0</v>
      </c>
      <c r="BF48" s="66">
        <f t="shared" si="42"/>
        <v>0</v>
      </c>
      <c r="BG48" s="66">
        <f t="shared" si="42"/>
        <v>0</v>
      </c>
      <c r="BH48" s="66">
        <f t="shared" si="42"/>
        <v>0</v>
      </c>
      <c r="BI48" s="66">
        <f t="shared" si="43"/>
        <v>0</v>
      </c>
      <c r="BJ48" s="66">
        <f t="shared" si="44"/>
        <v>0</v>
      </c>
      <c r="BK48" s="66">
        <f t="shared" si="44"/>
        <v>0</v>
      </c>
      <c r="BL48" s="66">
        <f t="shared" si="44"/>
        <v>0</v>
      </c>
      <c r="BM48" s="66">
        <f t="shared" si="44"/>
        <v>0</v>
      </c>
      <c r="BN48" s="66">
        <f t="shared" si="44"/>
        <v>0</v>
      </c>
      <c r="BO48" s="66">
        <f t="shared" si="44"/>
        <v>0</v>
      </c>
      <c r="BP48" s="66">
        <f t="shared" si="44"/>
        <v>0</v>
      </c>
      <c r="BQ48" s="66">
        <f t="shared" si="44"/>
        <v>0</v>
      </c>
      <c r="BR48" s="66">
        <f t="shared" si="44"/>
        <v>0</v>
      </c>
      <c r="BS48" s="66">
        <f t="shared" si="44"/>
        <v>0</v>
      </c>
      <c r="BT48" s="66">
        <f t="shared" si="44"/>
        <v>0</v>
      </c>
      <c r="BU48" s="66">
        <f t="shared" si="44"/>
        <v>0</v>
      </c>
      <c r="BV48" s="66">
        <f t="shared" si="44"/>
        <v>0</v>
      </c>
      <c r="BW48" s="66">
        <f t="shared" si="44"/>
        <v>0</v>
      </c>
      <c r="BX48" s="66">
        <f t="shared" si="44"/>
        <v>0</v>
      </c>
      <c r="BY48" s="66">
        <f t="shared" si="44"/>
        <v>0</v>
      </c>
      <c r="BZ48" s="66">
        <f t="shared" si="45"/>
        <v>0</v>
      </c>
      <c r="CA48" s="66"/>
      <c r="CB48" s="66">
        <f t="shared" si="46"/>
        <v>0</v>
      </c>
      <c r="CC48" s="22" t="e">
        <f t="shared" si="8"/>
        <v>#DIV/0!</v>
      </c>
      <c r="CD48" s="66">
        <f t="shared" si="47"/>
        <v>0</v>
      </c>
      <c r="CE48" s="66"/>
      <c r="CF48" s="66"/>
      <c r="CG48" s="66"/>
      <c r="CH48" s="66"/>
      <c r="CI48" s="66"/>
      <c r="CJ48" s="66"/>
      <c r="CK48" s="66"/>
      <c r="CL48" s="66"/>
      <c r="CM48" s="66"/>
      <c r="CN48" s="66"/>
      <c r="CO48" s="66"/>
      <c r="CP48" s="66"/>
      <c r="CQ48" s="66"/>
      <c r="CR48" s="66"/>
      <c r="CS48" s="66"/>
      <c r="CT48" s="66"/>
      <c r="CU48" s="66"/>
      <c r="CV48" s="66"/>
      <c r="CW48" s="66"/>
      <c r="CX48" s="66"/>
      <c r="CY48" s="66"/>
      <c r="CZ48" s="66"/>
      <c r="DA48" s="66"/>
      <c r="DB48" s="22" t="e">
        <f t="shared" si="10"/>
        <v>#DIV/0!</v>
      </c>
      <c r="DC48" s="66">
        <f t="shared" si="48"/>
        <v>0</v>
      </c>
      <c r="DD48" s="66">
        <f t="shared" si="49"/>
        <v>0</v>
      </c>
      <c r="DE48" s="66">
        <f t="shared" si="49"/>
        <v>0</v>
      </c>
      <c r="DF48" s="66">
        <f t="shared" si="49"/>
        <v>0</v>
      </c>
      <c r="DG48" s="66">
        <f t="shared" si="49"/>
        <v>0</v>
      </c>
      <c r="DH48" s="66">
        <f t="shared" si="49"/>
        <v>0</v>
      </c>
      <c r="DI48" s="66">
        <f t="shared" si="49"/>
        <v>0</v>
      </c>
      <c r="DJ48" s="66">
        <f t="shared" si="49"/>
        <v>0</v>
      </c>
      <c r="DK48" s="66">
        <f t="shared" si="49"/>
        <v>0</v>
      </c>
      <c r="DL48" s="66">
        <f t="shared" si="49"/>
        <v>0</v>
      </c>
      <c r="DM48" s="66">
        <f t="shared" si="49"/>
        <v>0</v>
      </c>
      <c r="DN48" s="66">
        <f t="shared" si="49"/>
        <v>0</v>
      </c>
      <c r="DO48" s="66">
        <f t="shared" si="49"/>
        <v>0</v>
      </c>
      <c r="DP48" s="66">
        <f t="shared" si="49"/>
        <v>0</v>
      </c>
      <c r="DQ48" s="66">
        <f t="shared" si="49"/>
        <v>0</v>
      </c>
      <c r="DR48" s="66">
        <f t="shared" si="49"/>
        <v>0</v>
      </c>
      <c r="DS48" s="66">
        <f t="shared" si="49"/>
        <v>0</v>
      </c>
      <c r="DT48" s="66">
        <f t="shared" si="50"/>
        <v>0</v>
      </c>
      <c r="DU48" s="66">
        <f t="shared" si="50"/>
        <v>0</v>
      </c>
      <c r="DV48" s="66">
        <f t="shared" si="50"/>
        <v>0</v>
      </c>
      <c r="DW48" s="66">
        <f t="shared" si="50"/>
        <v>0</v>
      </c>
      <c r="DX48" s="66">
        <f t="shared" si="50"/>
        <v>0</v>
      </c>
      <c r="DY48" s="66"/>
      <c r="DZ48" s="66">
        <f t="shared" si="51"/>
        <v>0</v>
      </c>
      <c r="EC48" s="170">
        <v>0</v>
      </c>
      <c r="ED48" s="169">
        <v>0</v>
      </c>
      <c r="EE48" s="171" t="e">
        <f t="shared" si="52"/>
        <v>#DIV/0!</v>
      </c>
    </row>
    <row r="49" spans="1:135" ht="41.4" hidden="1" customHeight="1" x14ac:dyDescent="0.3">
      <c r="A49" s="128"/>
      <c r="B49" s="237"/>
      <c r="C49" s="121" t="s">
        <v>260</v>
      </c>
      <c r="D49" s="69" t="s">
        <v>259</v>
      </c>
      <c r="E49" s="124">
        <v>410</v>
      </c>
      <c r="F49" s="67" t="s">
        <v>127</v>
      </c>
      <c r="G49" s="66">
        <f t="shared" si="39"/>
        <v>593750584</v>
      </c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>
        <f>20000000</f>
        <v>20000000</v>
      </c>
      <c r="T49" s="66"/>
      <c r="U49" s="66"/>
      <c r="V49" s="66"/>
      <c r="W49" s="66"/>
      <c r="X49" s="66">
        <v>90000000</v>
      </c>
      <c r="Y49" s="66"/>
      <c r="Z49" s="66">
        <v>29997719</v>
      </c>
      <c r="AA49" s="66"/>
      <c r="AB49" s="66">
        <f>91899873+18823995+62217986+22078947+107278029+32084030+88067217+31302788</f>
        <v>453752865</v>
      </c>
      <c r="AC49" s="66"/>
      <c r="AD49" s="66"/>
      <c r="AE49" s="22">
        <f t="shared" si="29"/>
        <v>0.63043070286900127</v>
      </c>
      <c r="AF49" s="66">
        <f t="shared" si="40"/>
        <v>374318598</v>
      </c>
      <c r="AG49" s="66"/>
      <c r="AH49" s="66"/>
      <c r="AI49" s="66"/>
      <c r="AJ49" s="66"/>
      <c r="AK49" s="66"/>
      <c r="AL49" s="66"/>
      <c r="AM49" s="66"/>
      <c r="AN49" s="66"/>
      <c r="AO49" s="66"/>
      <c r="AP49" s="66"/>
      <c r="AQ49" s="66"/>
      <c r="AR49" s="66">
        <f>+'[6]MAYO 2019'!$T$904</f>
        <v>10000000</v>
      </c>
      <c r="AS49" s="66"/>
      <c r="AT49" s="66"/>
      <c r="AU49" s="66"/>
      <c r="AV49" s="66"/>
      <c r="AW49" s="66">
        <f>+'[9]ENERO 2019'!$Y$443</f>
        <v>90000000</v>
      </c>
      <c r="AX49" s="66"/>
      <c r="AY49" s="66">
        <f>+'[7]AGOSTO 2019'!$AA$1506</f>
        <v>19997719</v>
      </c>
      <c r="AZ49" s="66"/>
      <c r="BA49" s="66">
        <f>+'[11]JULIO 2019'!$AC$1312</f>
        <v>254320879</v>
      </c>
      <c r="BB49" s="66"/>
      <c r="BC49" s="66"/>
      <c r="BD49" s="22">
        <f t="shared" si="3"/>
        <v>0.36956929713099873</v>
      </c>
      <c r="BE49" s="66">
        <f t="shared" si="41"/>
        <v>219431986</v>
      </c>
      <c r="BF49" s="66">
        <f t="shared" si="42"/>
        <v>0</v>
      </c>
      <c r="BG49" s="66">
        <f t="shared" si="42"/>
        <v>0</v>
      </c>
      <c r="BH49" s="66">
        <f t="shared" si="42"/>
        <v>0</v>
      </c>
      <c r="BI49" s="66">
        <f t="shared" si="43"/>
        <v>0</v>
      </c>
      <c r="BJ49" s="66">
        <f t="shared" si="44"/>
        <v>0</v>
      </c>
      <c r="BK49" s="66">
        <f t="shared" si="44"/>
        <v>0</v>
      </c>
      <c r="BL49" s="66">
        <f t="shared" si="44"/>
        <v>0</v>
      </c>
      <c r="BM49" s="66">
        <f t="shared" si="44"/>
        <v>0</v>
      </c>
      <c r="BN49" s="66">
        <f t="shared" si="44"/>
        <v>0</v>
      </c>
      <c r="BO49" s="66">
        <f t="shared" si="44"/>
        <v>0</v>
      </c>
      <c r="BP49" s="66">
        <f t="shared" si="44"/>
        <v>0</v>
      </c>
      <c r="BQ49" s="66">
        <f t="shared" si="44"/>
        <v>10000000</v>
      </c>
      <c r="BR49" s="66">
        <f t="shared" si="44"/>
        <v>0</v>
      </c>
      <c r="BS49" s="66">
        <f t="shared" si="44"/>
        <v>0</v>
      </c>
      <c r="BT49" s="66">
        <f t="shared" si="44"/>
        <v>0</v>
      </c>
      <c r="BU49" s="66">
        <f t="shared" si="44"/>
        <v>0</v>
      </c>
      <c r="BV49" s="66">
        <f t="shared" si="44"/>
        <v>0</v>
      </c>
      <c r="BW49" s="66">
        <f t="shared" si="44"/>
        <v>0</v>
      </c>
      <c r="BX49" s="66">
        <f t="shared" si="44"/>
        <v>10000000</v>
      </c>
      <c r="BY49" s="66">
        <f t="shared" si="44"/>
        <v>0</v>
      </c>
      <c r="BZ49" s="66">
        <f t="shared" si="45"/>
        <v>199431986</v>
      </c>
      <c r="CA49" s="66"/>
      <c r="CB49" s="66">
        <f t="shared" si="46"/>
        <v>0</v>
      </c>
      <c r="CC49" s="22">
        <f t="shared" si="8"/>
        <v>0.52902569608251537</v>
      </c>
      <c r="CD49" s="66">
        <f t="shared" si="47"/>
        <v>314109316</v>
      </c>
      <c r="CE49" s="66"/>
      <c r="CF49" s="66"/>
      <c r="CG49" s="66"/>
      <c r="CH49" s="66"/>
      <c r="CI49" s="66"/>
      <c r="CJ49" s="66"/>
      <c r="CK49" s="66"/>
      <c r="CL49" s="66"/>
      <c r="CM49" s="66"/>
      <c r="CN49" s="66"/>
      <c r="CO49" s="66"/>
      <c r="CP49" s="66">
        <f>+'[7]AGOSTO 2019'!$H$1575</f>
        <v>10000000</v>
      </c>
      <c r="CQ49" s="66"/>
      <c r="CR49" s="66"/>
      <c r="CS49" s="66"/>
      <c r="CT49" s="66"/>
      <c r="CU49" s="66">
        <f>+'[1]OCTUBRE 2019'!$H$1989+'[1]OCTUBRE 2019'!$H$2000+'[1]OCTUBRE 2019'!$Z$2014</f>
        <v>75578503</v>
      </c>
      <c r="CV49" s="66"/>
      <c r="CW49" s="66">
        <f>+'[1]OCTUBRE 2019'!$H$2098</f>
        <v>19879424</v>
      </c>
      <c r="CX49" s="66"/>
      <c r="CY49" s="66">
        <f>+'[1]OCTUBRE 2019'!$AD$2014-'[1]OCTUBRE 2019'!$I$2014+'[1]OCTUBRE 2019'!$H$2047+'[1]OCTUBRE 2019'!$H$2072+'[1]OCTUBRE 2019'!$H$2087+'[1]OCTUBRE 2019'!$H$2091</f>
        <v>208651389</v>
      </c>
      <c r="CZ49" s="66"/>
      <c r="DA49" s="66"/>
      <c r="DB49" s="22">
        <f t="shared" si="10"/>
        <v>0.47097430391748463</v>
      </c>
      <c r="DC49" s="66">
        <f t="shared" si="48"/>
        <v>279641268</v>
      </c>
      <c r="DD49" s="66">
        <f t="shared" si="49"/>
        <v>0</v>
      </c>
      <c r="DE49" s="66">
        <f t="shared" si="49"/>
        <v>0</v>
      </c>
      <c r="DF49" s="66">
        <f t="shared" si="49"/>
        <v>0</v>
      </c>
      <c r="DG49" s="66">
        <f t="shared" si="49"/>
        <v>0</v>
      </c>
      <c r="DH49" s="66">
        <f t="shared" si="49"/>
        <v>0</v>
      </c>
      <c r="DI49" s="66">
        <f t="shared" si="49"/>
        <v>0</v>
      </c>
      <c r="DJ49" s="66">
        <f t="shared" si="49"/>
        <v>0</v>
      </c>
      <c r="DK49" s="66">
        <f t="shared" si="49"/>
        <v>0</v>
      </c>
      <c r="DL49" s="66">
        <f t="shared" si="49"/>
        <v>0</v>
      </c>
      <c r="DM49" s="66">
        <f t="shared" si="49"/>
        <v>0</v>
      </c>
      <c r="DN49" s="66">
        <f t="shared" si="49"/>
        <v>0</v>
      </c>
      <c r="DO49" s="66">
        <f t="shared" si="49"/>
        <v>10000000</v>
      </c>
      <c r="DP49" s="66">
        <f t="shared" si="49"/>
        <v>0</v>
      </c>
      <c r="DQ49" s="66">
        <f t="shared" si="49"/>
        <v>0</v>
      </c>
      <c r="DR49" s="66">
        <f t="shared" si="49"/>
        <v>0</v>
      </c>
      <c r="DS49" s="66">
        <f t="shared" si="49"/>
        <v>0</v>
      </c>
      <c r="DT49" s="66">
        <f t="shared" si="50"/>
        <v>14421497</v>
      </c>
      <c r="DU49" s="66">
        <f t="shared" si="50"/>
        <v>0</v>
      </c>
      <c r="DV49" s="66">
        <f t="shared" si="50"/>
        <v>10118295</v>
      </c>
      <c r="DW49" s="66">
        <f t="shared" si="50"/>
        <v>0</v>
      </c>
      <c r="DX49" s="66">
        <f t="shared" si="50"/>
        <v>245101476</v>
      </c>
      <c r="DY49" s="66"/>
      <c r="DZ49" s="66">
        <f t="shared" si="51"/>
        <v>0</v>
      </c>
      <c r="EC49" s="170">
        <v>593750584</v>
      </c>
      <c r="ED49" s="169">
        <v>314109316</v>
      </c>
      <c r="EE49" s="171">
        <f t="shared" si="52"/>
        <v>0.52902569608251537</v>
      </c>
    </row>
    <row r="50" spans="1:135" ht="31.2" hidden="1" customHeight="1" x14ac:dyDescent="0.3">
      <c r="A50" s="128"/>
      <c r="B50" s="237"/>
      <c r="C50" s="121" t="s">
        <v>258</v>
      </c>
      <c r="D50" s="69" t="s">
        <v>257</v>
      </c>
      <c r="E50" s="124">
        <v>410</v>
      </c>
      <c r="F50" s="67" t="s">
        <v>256</v>
      </c>
      <c r="G50" s="66">
        <f t="shared" si="39"/>
        <v>0</v>
      </c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22" t="e">
        <f t="shared" si="29"/>
        <v>#DIV/0!</v>
      </c>
      <c r="AF50" s="66">
        <f t="shared" si="40"/>
        <v>0</v>
      </c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22" t="e">
        <f t="shared" si="3"/>
        <v>#DIV/0!</v>
      </c>
      <c r="BE50" s="66">
        <f t="shared" si="41"/>
        <v>0</v>
      </c>
      <c r="BF50" s="66">
        <f t="shared" si="42"/>
        <v>0</v>
      </c>
      <c r="BG50" s="66">
        <f t="shared" si="42"/>
        <v>0</v>
      </c>
      <c r="BH50" s="66">
        <f t="shared" si="42"/>
        <v>0</v>
      </c>
      <c r="BI50" s="66">
        <f t="shared" si="43"/>
        <v>0</v>
      </c>
      <c r="BJ50" s="66">
        <f t="shared" si="44"/>
        <v>0</v>
      </c>
      <c r="BK50" s="66">
        <f t="shared" si="44"/>
        <v>0</v>
      </c>
      <c r="BL50" s="66">
        <f t="shared" si="44"/>
        <v>0</v>
      </c>
      <c r="BM50" s="66">
        <f t="shared" si="44"/>
        <v>0</v>
      </c>
      <c r="BN50" s="66">
        <f t="shared" si="44"/>
        <v>0</v>
      </c>
      <c r="BO50" s="66">
        <f t="shared" si="44"/>
        <v>0</v>
      </c>
      <c r="BP50" s="66">
        <f t="shared" si="44"/>
        <v>0</v>
      </c>
      <c r="BQ50" s="66">
        <f t="shared" si="44"/>
        <v>0</v>
      </c>
      <c r="BR50" s="66">
        <f t="shared" si="44"/>
        <v>0</v>
      </c>
      <c r="BS50" s="66">
        <f t="shared" si="44"/>
        <v>0</v>
      </c>
      <c r="BT50" s="66">
        <f t="shared" si="44"/>
        <v>0</v>
      </c>
      <c r="BU50" s="66">
        <f t="shared" si="44"/>
        <v>0</v>
      </c>
      <c r="BV50" s="66">
        <f t="shared" si="44"/>
        <v>0</v>
      </c>
      <c r="BW50" s="66">
        <f t="shared" si="44"/>
        <v>0</v>
      </c>
      <c r="BX50" s="66">
        <f t="shared" si="44"/>
        <v>0</v>
      </c>
      <c r="BY50" s="66">
        <f t="shared" si="44"/>
        <v>0</v>
      </c>
      <c r="BZ50" s="66">
        <f t="shared" si="45"/>
        <v>0</v>
      </c>
      <c r="CA50" s="66"/>
      <c r="CB50" s="66">
        <f t="shared" si="46"/>
        <v>0</v>
      </c>
      <c r="CC50" s="22" t="e">
        <f t="shared" si="8"/>
        <v>#DIV/0!</v>
      </c>
      <c r="CD50" s="66">
        <f t="shared" si="47"/>
        <v>0</v>
      </c>
      <c r="CE50" s="66"/>
      <c r="CF50" s="66"/>
      <c r="CG50" s="66"/>
      <c r="CH50" s="66"/>
      <c r="CI50" s="66"/>
      <c r="CJ50" s="66"/>
      <c r="CK50" s="66"/>
      <c r="CL50" s="66"/>
      <c r="CM50" s="66"/>
      <c r="CN50" s="66"/>
      <c r="CO50" s="66"/>
      <c r="CP50" s="66"/>
      <c r="CQ50" s="66"/>
      <c r="CR50" s="66"/>
      <c r="CS50" s="66"/>
      <c r="CT50" s="66"/>
      <c r="CU50" s="66"/>
      <c r="CV50" s="66"/>
      <c r="CW50" s="66"/>
      <c r="CX50" s="66"/>
      <c r="CY50" s="66"/>
      <c r="CZ50" s="66"/>
      <c r="DA50" s="66"/>
      <c r="DB50" s="22" t="e">
        <f t="shared" si="10"/>
        <v>#DIV/0!</v>
      </c>
      <c r="DC50" s="66">
        <f t="shared" si="48"/>
        <v>0</v>
      </c>
      <c r="DD50" s="66">
        <f t="shared" si="49"/>
        <v>0</v>
      </c>
      <c r="DE50" s="66">
        <f t="shared" si="49"/>
        <v>0</v>
      </c>
      <c r="DF50" s="66">
        <f t="shared" si="49"/>
        <v>0</v>
      </c>
      <c r="DG50" s="66">
        <f t="shared" si="49"/>
        <v>0</v>
      </c>
      <c r="DH50" s="66">
        <f t="shared" si="49"/>
        <v>0</v>
      </c>
      <c r="DI50" s="66">
        <f t="shared" si="49"/>
        <v>0</v>
      </c>
      <c r="DJ50" s="66">
        <f t="shared" si="49"/>
        <v>0</v>
      </c>
      <c r="DK50" s="66">
        <f t="shared" si="49"/>
        <v>0</v>
      </c>
      <c r="DL50" s="66">
        <f t="shared" si="49"/>
        <v>0</v>
      </c>
      <c r="DM50" s="66">
        <f t="shared" si="49"/>
        <v>0</v>
      </c>
      <c r="DN50" s="66">
        <f t="shared" si="49"/>
        <v>0</v>
      </c>
      <c r="DO50" s="66">
        <f t="shared" si="49"/>
        <v>0</v>
      </c>
      <c r="DP50" s="66">
        <f t="shared" si="49"/>
        <v>0</v>
      </c>
      <c r="DQ50" s="66">
        <f t="shared" si="49"/>
        <v>0</v>
      </c>
      <c r="DR50" s="66">
        <f t="shared" si="49"/>
        <v>0</v>
      </c>
      <c r="DS50" s="66">
        <f t="shared" si="49"/>
        <v>0</v>
      </c>
      <c r="DT50" s="66">
        <f t="shared" si="50"/>
        <v>0</v>
      </c>
      <c r="DU50" s="66">
        <f t="shared" si="50"/>
        <v>0</v>
      </c>
      <c r="DV50" s="66">
        <f t="shared" si="50"/>
        <v>0</v>
      </c>
      <c r="DW50" s="66">
        <f t="shared" si="50"/>
        <v>0</v>
      </c>
      <c r="DX50" s="66">
        <f t="shared" si="50"/>
        <v>0</v>
      </c>
      <c r="DY50" s="66"/>
      <c r="DZ50" s="66">
        <f t="shared" si="51"/>
        <v>0</v>
      </c>
      <c r="EC50" s="170">
        <v>0</v>
      </c>
      <c r="ED50" s="169">
        <v>0</v>
      </c>
      <c r="EE50" s="171" t="e">
        <f t="shared" si="52"/>
        <v>#DIV/0!</v>
      </c>
    </row>
    <row r="51" spans="1:135" ht="19.8" hidden="1" customHeight="1" x14ac:dyDescent="0.3">
      <c r="A51" s="128"/>
      <c r="B51" s="237"/>
      <c r="C51" s="121" t="s">
        <v>255</v>
      </c>
      <c r="D51" s="69" t="s">
        <v>254</v>
      </c>
      <c r="E51" s="124">
        <v>410</v>
      </c>
      <c r="F51" s="67" t="s">
        <v>253</v>
      </c>
      <c r="G51" s="66">
        <f t="shared" si="39"/>
        <v>106000000</v>
      </c>
      <c r="H51" s="66"/>
      <c r="I51" s="66"/>
      <c r="J51" s="66"/>
      <c r="K51" s="66"/>
      <c r="L51" s="66"/>
      <c r="M51" s="66"/>
      <c r="N51" s="66"/>
      <c r="O51" s="66">
        <f>40000000-15000000-17000000</f>
        <v>8000000</v>
      </c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>
        <f>88000000+25000000-15000000</f>
        <v>98000000</v>
      </c>
      <c r="AE51" s="22">
        <f t="shared" si="29"/>
        <v>0.52640778301886793</v>
      </c>
      <c r="AF51" s="66">
        <f t="shared" si="40"/>
        <v>55799225</v>
      </c>
      <c r="AG51" s="66"/>
      <c r="AH51" s="66"/>
      <c r="AI51" s="66"/>
      <c r="AJ51" s="66"/>
      <c r="AK51" s="66"/>
      <c r="AL51" s="66"/>
      <c r="AM51" s="66"/>
      <c r="AN51" s="66">
        <f>+'[1]OCTUBRE 2019'!$Q$2119</f>
        <v>2000000</v>
      </c>
      <c r="AO51" s="66"/>
      <c r="AP51" s="66"/>
      <c r="AQ51" s="66"/>
      <c r="AR51" s="66"/>
      <c r="AS51" s="66"/>
      <c r="AT51" s="66"/>
      <c r="AU51" s="66"/>
      <c r="AV51" s="66"/>
      <c r="AW51" s="66"/>
      <c r="AX51" s="66"/>
      <c r="AY51" s="66"/>
      <c r="AZ51" s="66"/>
      <c r="BA51" s="66"/>
      <c r="BB51" s="66"/>
      <c r="BC51" s="66">
        <f>+'[1]OCTUBRE 2019'!$AG$2119</f>
        <v>53799225</v>
      </c>
      <c r="BD51" s="22">
        <f t="shared" si="3"/>
        <v>0.47359221698113207</v>
      </c>
      <c r="BE51" s="66">
        <f t="shared" si="41"/>
        <v>50200775</v>
      </c>
      <c r="BF51" s="66">
        <f t="shared" si="42"/>
        <v>0</v>
      </c>
      <c r="BG51" s="66">
        <f t="shared" si="42"/>
        <v>0</v>
      </c>
      <c r="BH51" s="66">
        <f t="shared" si="42"/>
        <v>0</v>
      </c>
      <c r="BI51" s="66">
        <f t="shared" si="43"/>
        <v>0</v>
      </c>
      <c r="BJ51" s="66">
        <f t="shared" si="44"/>
        <v>0</v>
      </c>
      <c r="BK51" s="66">
        <f t="shared" si="44"/>
        <v>0</v>
      </c>
      <c r="BL51" s="66">
        <f t="shared" si="44"/>
        <v>0</v>
      </c>
      <c r="BM51" s="66">
        <f t="shared" si="44"/>
        <v>6000000</v>
      </c>
      <c r="BN51" s="66">
        <f t="shared" si="44"/>
        <v>0</v>
      </c>
      <c r="BO51" s="66">
        <f t="shared" si="44"/>
        <v>0</v>
      </c>
      <c r="BP51" s="66">
        <f t="shared" si="44"/>
        <v>0</v>
      </c>
      <c r="BQ51" s="66">
        <f t="shared" si="44"/>
        <v>0</v>
      </c>
      <c r="BR51" s="66">
        <f t="shared" si="44"/>
        <v>0</v>
      </c>
      <c r="BS51" s="66">
        <f t="shared" si="44"/>
        <v>0</v>
      </c>
      <c r="BT51" s="66">
        <f t="shared" si="44"/>
        <v>0</v>
      </c>
      <c r="BU51" s="66">
        <f t="shared" si="44"/>
        <v>0</v>
      </c>
      <c r="BV51" s="66">
        <f t="shared" si="44"/>
        <v>0</v>
      </c>
      <c r="BW51" s="66">
        <f t="shared" si="44"/>
        <v>0</v>
      </c>
      <c r="BX51" s="66">
        <f t="shared" si="44"/>
        <v>0</v>
      </c>
      <c r="BY51" s="66">
        <f t="shared" si="44"/>
        <v>0</v>
      </c>
      <c r="BZ51" s="66">
        <f t="shared" si="45"/>
        <v>0</v>
      </c>
      <c r="CA51" s="66"/>
      <c r="CB51" s="66">
        <f t="shared" si="46"/>
        <v>44200775</v>
      </c>
      <c r="CC51" s="22">
        <f t="shared" si="8"/>
        <v>0.45093608490566039</v>
      </c>
      <c r="CD51" s="66">
        <f t="shared" si="47"/>
        <v>47799225</v>
      </c>
      <c r="CE51" s="66"/>
      <c r="CF51" s="66"/>
      <c r="CG51" s="66"/>
      <c r="CH51" s="66"/>
      <c r="CI51" s="66"/>
      <c r="CJ51" s="66"/>
      <c r="CK51" s="66"/>
      <c r="CL51" s="66"/>
      <c r="CM51" s="66"/>
      <c r="CN51" s="66"/>
      <c r="CO51" s="66"/>
      <c r="CP51" s="66"/>
      <c r="CQ51" s="66"/>
      <c r="CR51" s="66"/>
      <c r="CS51" s="66"/>
      <c r="CT51" s="66"/>
      <c r="CU51" s="66"/>
      <c r="CV51" s="66"/>
      <c r="CW51" s="66"/>
      <c r="CX51" s="66"/>
      <c r="CY51" s="66"/>
      <c r="CZ51" s="66"/>
      <c r="DA51" s="66">
        <f>+'[1]OCTUBRE 2019'!$H$2117</f>
        <v>47799225</v>
      </c>
      <c r="DB51" s="22">
        <f t="shared" si="10"/>
        <v>0.54906391509433961</v>
      </c>
      <c r="DC51" s="66">
        <f t="shared" si="48"/>
        <v>58200775</v>
      </c>
      <c r="DD51" s="66">
        <f t="shared" si="49"/>
        <v>0</v>
      </c>
      <c r="DE51" s="66">
        <f t="shared" si="49"/>
        <v>0</v>
      </c>
      <c r="DF51" s="66">
        <f t="shared" si="49"/>
        <v>0</v>
      </c>
      <c r="DG51" s="66">
        <f t="shared" si="49"/>
        <v>0</v>
      </c>
      <c r="DH51" s="66">
        <f t="shared" si="49"/>
        <v>0</v>
      </c>
      <c r="DI51" s="66">
        <f t="shared" si="49"/>
        <v>0</v>
      </c>
      <c r="DJ51" s="66">
        <f t="shared" si="49"/>
        <v>0</v>
      </c>
      <c r="DK51" s="66">
        <f t="shared" si="49"/>
        <v>8000000</v>
      </c>
      <c r="DL51" s="66">
        <f t="shared" si="49"/>
        <v>0</v>
      </c>
      <c r="DM51" s="66">
        <f t="shared" si="49"/>
        <v>0</v>
      </c>
      <c r="DN51" s="66">
        <f t="shared" si="49"/>
        <v>0</v>
      </c>
      <c r="DO51" s="66">
        <f t="shared" si="49"/>
        <v>0</v>
      </c>
      <c r="DP51" s="66">
        <f t="shared" si="49"/>
        <v>0</v>
      </c>
      <c r="DQ51" s="66">
        <f t="shared" si="49"/>
        <v>0</v>
      </c>
      <c r="DR51" s="66">
        <f t="shared" si="49"/>
        <v>0</v>
      </c>
      <c r="DS51" s="66">
        <f t="shared" si="49"/>
        <v>0</v>
      </c>
      <c r="DT51" s="66">
        <f t="shared" si="50"/>
        <v>0</v>
      </c>
      <c r="DU51" s="66">
        <f t="shared" si="50"/>
        <v>0</v>
      </c>
      <c r="DV51" s="66">
        <f t="shared" si="50"/>
        <v>0</v>
      </c>
      <c r="DW51" s="66">
        <f t="shared" si="50"/>
        <v>0</v>
      </c>
      <c r="DX51" s="66">
        <f t="shared" si="50"/>
        <v>0</v>
      </c>
      <c r="DY51" s="66"/>
      <c r="DZ51" s="66">
        <f t="shared" si="51"/>
        <v>50200775</v>
      </c>
      <c r="EC51" s="170">
        <v>106000000</v>
      </c>
      <c r="ED51" s="169">
        <v>47799225</v>
      </c>
      <c r="EE51" s="171">
        <f t="shared" si="52"/>
        <v>0.45093608490566039</v>
      </c>
    </row>
    <row r="52" spans="1:135" ht="32.25" hidden="1" customHeight="1" x14ac:dyDescent="0.3">
      <c r="A52" s="128"/>
      <c r="B52" s="123"/>
      <c r="C52" s="121" t="s">
        <v>252</v>
      </c>
      <c r="D52" s="69" t="s">
        <v>251</v>
      </c>
      <c r="E52" s="124">
        <v>410</v>
      </c>
      <c r="F52" s="127" t="s">
        <v>127</v>
      </c>
      <c r="G52" s="66">
        <f t="shared" si="39"/>
        <v>6000000</v>
      </c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>
        <f>6000000</f>
        <v>6000000</v>
      </c>
      <c r="AA52" s="66"/>
      <c r="AB52" s="66"/>
      <c r="AC52" s="66"/>
      <c r="AD52" s="66"/>
      <c r="AE52" s="22">
        <f t="shared" si="29"/>
        <v>0.44443250000000001</v>
      </c>
      <c r="AF52" s="66">
        <f t="shared" si="40"/>
        <v>2666595</v>
      </c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/>
      <c r="AY52" s="66">
        <f>+'[1]OCTUBRE 2019'!$AB$2167</f>
        <v>2666595</v>
      </c>
      <c r="AZ52" s="66"/>
      <c r="BA52" s="66"/>
      <c r="BB52" s="66"/>
      <c r="BC52" s="66"/>
      <c r="BD52" s="22">
        <f t="shared" si="3"/>
        <v>0.55556749999999999</v>
      </c>
      <c r="BE52" s="66">
        <f t="shared" si="41"/>
        <v>3333405</v>
      </c>
      <c r="BF52" s="66">
        <f t="shared" si="42"/>
        <v>0</v>
      </c>
      <c r="BG52" s="66">
        <f t="shared" si="42"/>
        <v>0</v>
      </c>
      <c r="BH52" s="66">
        <f t="shared" si="42"/>
        <v>0</v>
      </c>
      <c r="BI52" s="66">
        <f t="shared" si="43"/>
        <v>0</v>
      </c>
      <c r="BJ52" s="66">
        <f t="shared" si="44"/>
        <v>0</v>
      </c>
      <c r="BK52" s="66">
        <f t="shared" si="44"/>
        <v>0</v>
      </c>
      <c r="BL52" s="66">
        <f t="shared" si="44"/>
        <v>0</v>
      </c>
      <c r="BM52" s="66">
        <f t="shared" si="44"/>
        <v>0</v>
      </c>
      <c r="BN52" s="66">
        <f t="shared" si="44"/>
        <v>0</v>
      </c>
      <c r="BO52" s="66">
        <f t="shared" si="44"/>
        <v>0</v>
      </c>
      <c r="BP52" s="66">
        <f t="shared" si="44"/>
        <v>0</v>
      </c>
      <c r="BQ52" s="66">
        <f t="shared" si="44"/>
        <v>0</v>
      </c>
      <c r="BR52" s="66">
        <f t="shared" si="44"/>
        <v>0</v>
      </c>
      <c r="BS52" s="66">
        <f t="shared" si="44"/>
        <v>0</v>
      </c>
      <c r="BT52" s="66">
        <f t="shared" si="44"/>
        <v>0</v>
      </c>
      <c r="BU52" s="66">
        <f t="shared" si="44"/>
        <v>0</v>
      </c>
      <c r="BV52" s="66">
        <f t="shared" si="44"/>
        <v>0</v>
      </c>
      <c r="BW52" s="66">
        <f t="shared" si="44"/>
        <v>0</v>
      </c>
      <c r="BX52" s="66">
        <f t="shared" si="44"/>
        <v>3333405</v>
      </c>
      <c r="BY52" s="66">
        <f t="shared" si="44"/>
        <v>0</v>
      </c>
      <c r="BZ52" s="66">
        <f t="shared" si="45"/>
        <v>0</v>
      </c>
      <c r="CA52" s="66"/>
      <c r="CB52" s="66">
        <f t="shared" si="46"/>
        <v>0</v>
      </c>
      <c r="CC52" s="22">
        <f t="shared" si="8"/>
        <v>0.44443250000000001</v>
      </c>
      <c r="CD52" s="66">
        <f t="shared" si="47"/>
        <v>2666595</v>
      </c>
      <c r="CE52" s="66"/>
      <c r="CF52" s="66"/>
      <c r="CG52" s="66"/>
      <c r="CH52" s="66"/>
      <c r="CI52" s="66"/>
      <c r="CJ52" s="66"/>
      <c r="CK52" s="66"/>
      <c r="CL52" s="66"/>
      <c r="CM52" s="66"/>
      <c r="CN52" s="66"/>
      <c r="CO52" s="66"/>
      <c r="CP52" s="66"/>
      <c r="CQ52" s="66"/>
      <c r="CR52" s="66"/>
      <c r="CS52" s="66"/>
      <c r="CT52" s="66"/>
      <c r="CU52" s="66"/>
      <c r="CV52" s="66"/>
      <c r="CW52" s="66">
        <f>+'[1]OCTUBRE 2019'!$H$2165</f>
        <v>2666595</v>
      </c>
      <c r="CX52" s="66"/>
      <c r="CY52" s="66"/>
      <c r="CZ52" s="66"/>
      <c r="DA52" s="66"/>
      <c r="DB52" s="22">
        <f t="shared" si="10"/>
        <v>0.55556749999999999</v>
      </c>
      <c r="DC52" s="66">
        <f t="shared" si="48"/>
        <v>3333405</v>
      </c>
      <c r="DD52" s="66">
        <f t="shared" si="49"/>
        <v>0</v>
      </c>
      <c r="DE52" s="66">
        <f t="shared" si="49"/>
        <v>0</v>
      </c>
      <c r="DF52" s="66">
        <f t="shared" si="49"/>
        <v>0</v>
      </c>
      <c r="DG52" s="66">
        <f t="shared" si="49"/>
        <v>0</v>
      </c>
      <c r="DH52" s="66">
        <f t="shared" si="49"/>
        <v>0</v>
      </c>
      <c r="DI52" s="66">
        <f t="shared" si="49"/>
        <v>0</v>
      </c>
      <c r="DJ52" s="66">
        <f t="shared" si="49"/>
        <v>0</v>
      </c>
      <c r="DK52" s="66">
        <f t="shared" si="49"/>
        <v>0</v>
      </c>
      <c r="DL52" s="66">
        <f t="shared" si="49"/>
        <v>0</v>
      </c>
      <c r="DM52" s="66">
        <f t="shared" si="49"/>
        <v>0</v>
      </c>
      <c r="DN52" s="66">
        <f t="shared" si="49"/>
        <v>0</v>
      </c>
      <c r="DO52" s="66">
        <f t="shared" si="49"/>
        <v>0</v>
      </c>
      <c r="DP52" s="66">
        <f t="shared" si="49"/>
        <v>0</v>
      </c>
      <c r="DQ52" s="66">
        <f t="shared" si="49"/>
        <v>0</v>
      </c>
      <c r="DR52" s="66">
        <f t="shared" si="49"/>
        <v>0</v>
      </c>
      <c r="DS52" s="66">
        <f t="shared" si="49"/>
        <v>0</v>
      </c>
      <c r="DT52" s="66">
        <f t="shared" si="50"/>
        <v>0</v>
      </c>
      <c r="DU52" s="66">
        <f t="shared" si="50"/>
        <v>0</v>
      </c>
      <c r="DV52" s="66">
        <f t="shared" si="50"/>
        <v>3333405</v>
      </c>
      <c r="DW52" s="66">
        <f t="shared" si="50"/>
        <v>0</v>
      </c>
      <c r="DX52" s="66">
        <f t="shared" si="50"/>
        <v>0</v>
      </c>
      <c r="DY52" s="66"/>
      <c r="DZ52" s="66">
        <f t="shared" si="51"/>
        <v>0</v>
      </c>
      <c r="EC52" s="170">
        <v>6000000</v>
      </c>
      <c r="ED52" s="169">
        <v>2666595</v>
      </c>
      <c r="EE52" s="171">
        <f t="shared" si="52"/>
        <v>0.44443250000000001</v>
      </c>
    </row>
    <row r="53" spans="1:135" ht="31.2" hidden="1" customHeight="1" x14ac:dyDescent="0.3">
      <c r="A53" s="128"/>
      <c r="B53" s="123"/>
      <c r="C53" s="121" t="s">
        <v>250</v>
      </c>
      <c r="D53" s="69" t="s">
        <v>249</v>
      </c>
      <c r="E53" s="124">
        <v>410</v>
      </c>
      <c r="F53" s="127" t="s">
        <v>127</v>
      </c>
      <c r="G53" s="66">
        <f t="shared" si="39"/>
        <v>24000000</v>
      </c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>
        <f>24000000</f>
        <v>24000000</v>
      </c>
      <c r="AA53" s="66"/>
      <c r="AB53" s="66"/>
      <c r="AC53" s="66"/>
      <c r="AD53" s="66"/>
      <c r="AE53" s="22">
        <f t="shared" si="29"/>
        <v>0.15190716666666668</v>
      </c>
      <c r="AF53" s="66">
        <f t="shared" si="40"/>
        <v>3645772</v>
      </c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6"/>
      <c r="AY53" s="66">
        <f>+'[1]OCTUBRE 2019'!$AB$2173</f>
        <v>3645772</v>
      </c>
      <c r="AZ53" s="66"/>
      <c r="BA53" s="66"/>
      <c r="BB53" s="66"/>
      <c r="BC53" s="66"/>
      <c r="BD53" s="22">
        <f t="shared" si="3"/>
        <v>0.8480928333333333</v>
      </c>
      <c r="BE53" s="66">
        <f t="shared" si="41"/>
        <v>20354228</v>
      </c>
      <c r="BF53" s="66">
        <f t="shared" si="42"/>
        <v>0</v>
      </c>
      <c r="BG53" s="66">
        <f t="shared" si="42"/>
        <v>0</v>
      </c>
      <c r="BH53" s="66">
        <f t="shared" si="42"/>
        <v>0</v>
      </c>
      <c r="BI53" s="66">
        <f t="shared" si="43"/>
        <v>0</v>
      </c>
      <c r="BJ53" s="66">
        <f t="shared" si="44"/>
        <v>0</v>
      </c>
      <c r="BK53" s="66">
        <f t="shared" si="44"/>
        <v>0</v>
      </c>
      <c r="BL53" s="66">
        <f t="shared" si="44"/>
        <v>0</v>
      </c>
      <c r="BM53" s="66">
        <f t="shared" si="44"/>
        <v>0</v>
      </c>
      <c r="BN53" s="66">
        <f t="shared" si="44"/>
        <v>0</v>
      </c>
      <c r="BO53" s="66">
        <f t="shared" si="44"/>
        <v>0</v>
      </c>
      <c r="BP53" s="66">
        <f t="shared" si="44"/>
        <v>0</v>
      </c>
      <c r="BQ53" s="66">
        <f t="shared" si="44"/>
        <v>0</v>
      </c>
      <c r="BR53" s="66">
        <f t="shared" si="44"/>
        <v>0</v>
      </c>
      <c r="BS53" s="66">
        <f t="shared" si="44"/>
        <v>0</v>
      </c>
      <c r="BT53" s="66">
        <f t="shared" si="44"/>
        <v>0</v>
      </c>
      <c r="BU53" s="66">
        <f t="shared" si="44"/>
        <v>0</v>
      </c>
      <c r="BV53" s="66">
        <f t="shared" si="44"/>
        <v>0</v>
      </c>
      <c r="BW53" s="66">
        <f t="shared" si="44"/>
        <v>0</v>
      </c>
      <c r="BX53" s="66">
        <f t="shared" si="44"/>
        <v>20354228</v>
      </c>
      <c r="BY53" s="66">
        <f t="shared" si="44"/>
        <v>0</v>
      </c>
      <c r="BZ53" s="66">
        <f t="shared" si="45"/>
        <v>0</v>
      </c>
      <c r="CA53" s="66"/>
      <c r="CB53" s="66">
        <f t="shared" si="46"/>
        <v>0</v>
      </c>
      <c r="CC53" s="22">
        <f t="shared" si="8"/>
        <v>0.15190716666666668</v>
      </c>
      <c r="CD53" s="66">
        <f t="shared" si="47"/>
        <v>3645772</v>
      </c>
      <c r="CE53" s="66"/>
      <c r="CF53" s="66"/>
      <c r="CG53" s="66"/>
      <c r="CH53" s="66"/>
      <c r="CI53" s="66"/>
      <c r="CJ53" s="66"/>
      <c r="CK53" s="66"/>
      <c r="CL53" s="66"/>
      <c r="CM53" s="66"/>
      <c r="CN53" s="66"/>
      <c r="CO53" s="66"/>
      <c r="CP53" s="66"/>
      <c r="CQ53" s="66"/>
      <c r="CR53" s="66"/>
      <c r="CS53" s="66"/>
      <c r="CT53" s="66"/>
      <c r="CU53" s="66"/>
      <c r="CV53" s="66"/>
      <c r="CW53" s="66">
        <f>+'[1]OCTUBRE 2019'!$H$2171</f>
        <v>3645772</v>
      </c>
      <c r="CX53" s="66"/>
      <c r="CY53" s="66"/>
      <c r="CZ53" s="66"/>
      <c r="DA53" s="66"/>
      <c r="DB53" s="22">
        <f t="shared" si="10"/>
        <v>0.8480928333333333</v>
      </c>
      <c r="DC53" s="66">
        <f t="shared" si="48"/>
        <v>20354228</v>
      </c>
      <c r="DD53" s="66">
        <f t="shared" si="49"/>
        <v>0</v>
      </c>
      <c r="DE53" s="66">
        <f t="shared" si="49"/>
        <v>0</v>
      </c>
      <c r="DF53" s="66">
        <f t="shared" si="49"/>
        <v>0</v>
      </c>
      <c r="DG53" s="66">
        <f t="shared" si="49"/>
        <v>0</v>
      </c>
      <c r="DH53" s="66">
        <f t="shared" si="49"/>
        <v>0</v>
      </c>
      <c r="DI53" s="66">
        <f t="shared" si="49"/>
        <v>0</v>
      </c>
      <c r="DJ53" s="66">
        <f t="shared" si="49"/>
        <v>0</v>
      </c>
      <c r="DK53" s="66">
        <f t="shared" si="49"/>
        <v>0</v>
      </c>
      <c r="DL53" s="66">
        <f t="shared" si="49"/>
        <v>0</v>
      </c>
      <c r="DM53" s="66">
        <f t="shared" si="49"/>
        <v>0</v>
      </c>
      <c r="DN53" s="66">
        <f t="shared" si="49"/>
        <v>0</v>
      </c>
      <c r="DO53" s="66">
        <f t="shared" si="49"/>
        <v>0</v>
      </c>
      <c r="DP53" s="66">
        <f t="shared" si="49"/>
        <v>0</v>
      </c>
      <c r="DQ53" s="66">
        <f t="shared" si="49"/>
        <v>0</v>
      </c>
      <c r="DR53" s="66">
        <f t="shared" si="49"/>
        <v>0</v>
      </c>
      <c r="DS53" s="66">
        <f t="shared" si="49"/>
        <v>0</v>
      </c>
      <c r="DT53" s="66">
        <f t="shared" si="50"/>
        <v>0</v>
      </c>
      <c r="DU53" s="66">
        <f t="shared" si="50"/>
        <v>0</v>
      </c>
      <c r="DV53" s="66">
        <f t="shared" si="50"/>
        <v>20354228</v>
      </c>
      <c r="DW53" s="66">
        <f t="shared" si="50"/>
        <v>0</v>
      </c>
      <c r="DX53" s="66">
        <f t="shared" si="50"/>
        <v>0</v>
      </c>
      <c r="DY53" s="66"/>
      <c r="DZ53" s="66">
        <f t="shared" si="51"/>
        <v>0</v>
      </c>
      <c r="EC53" s="170">
        <v>24000000</v>
      </c>
      <c r="ED53" s="169">
        <v>3645772</v>
      </c>
      <c r="EE53" s="171">
        <f t="shared" si="52"/>
        <v>0.15190716666666668</v>
      </c>
    </row>
    <row r="54" spans="1:135" ht="27.6" hidden="1" customHeight="1" x14ac:dyDescent="0.3">
      <c r="A54" s="128"/>
      <c r="B54" s="123"/>
      <c r="C54" s="121" t="s">
        <v>248</v>
      </c>
      <c r="D54" s="69" t="s">
        <v>247</v>
      </c>
      <c r="E54" s="124">
        <v>410</v>
      </c>
      <c r="F54" s="127" t="s">
        <v>127</v>
      </c>
      <c r="G54" s="66">
        <f t="shared" si="39"/>
        <v>17000000</v>
      </c>
      <c r="H54" s="66"/>
      <c r="I54" s="66"/>
      <c r="J54" s="66"/>
      <c r="K54" s="66"/>
      <c r="L54" s="66"/>
      <c r="M54" s="66"/>
      <c r="N54" s="66"/>
      <c r="O54" s="66">
        <v>17000000</v>
      </c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22">
        <f t="shared" si="29"/>
        <v>9.2941176470588235E-2</v>
      </c>
      <c r="AF54" s="66">
        <f t="shared" si="40"/>
        <v>1580000</v>
      </c>
      <c r="AG54" s="66"/>
      <c r="AH54" s="66"/>
      <c r="AI54" s="66"/>
      <c r="AJ54" s="66"/>
      <c r="AK54" s="66"/>
      <c r="AL54" s="66"/>
      <c r="AM54" s="66"/>
      <c r="AN54" s="66">
        <f>+'[1]OCTUBRE 2019'!$Q$2181</f>
        <v>1580000</v>
      </c>
      <c r="AO54" s="66"/>
      <c r="AP54" s="66"/>
      <c r="AQ54" s="66"/>
      <c r="AR54" s="66"/>
      <c r="AS54" s="66"/>
      <c r="AT54" s="66"/>
      <c r="AU54" s="66"/>
      <c r="AV54" s="66"/>
      <c r="AW54" s="66"/>
      <c r="AX54" s="66"/>
      <c r="AY54" s="66"/>
      <c r="AZ54" s="66"/>
      <c r="BA54" s="66"/>
      <c r="BB54" s="66"/>
      <c r="BC54" s="66"/>
      <c r="BD54" s="22">
        <f t="shared" si="3"/>
        <v>0.90705882352941181</v>
      </c>
      <c r="BE54" s="66">
        <f t="shared" si="41"/>
        <v>15420000</v>
      </c>
      <c r="BF54" s="66">
        <f t="shared" si="42"/>
        <v>0</v>
      </c>
      <c r="BG54" s="66">
        <f t="shared" si="42"/>
        <v>0</v>
      </c>
      <c r="BH54" s="66">
        <f t="shared" si="42"/>
        <v>0</v>
      </c>
      <c r="BI54" s="66">
        <f t="shared" si="43"/>
        <v>0</v>
      </c>
      <c r="BJ54" s="66">
        <f t="shared" si="44"/>
        <v>0</v>
      </c>
      <c r="BK54" s="66">
        <f t="shared" si="44"/>
        <v>0</v>
      </c>
      <c r="BL54" s="66">
        <f t="shared" si="44"/>
        <v>0</v>
      </c>
      <c r="BM54" s="66">
        <f t="shared" si="44"/>
        <v>15420000</v>
      </c>
      <c r="BN54" s="66">
        <f t="shared" si="44"/>
        <v>0</v>
      </c>
      <c r="BO54" s="66">
        <f t="shared" si="44"/>
        <v>0</v>
      </c>
      <c r="BP54" s="66">
        <f t="shared" si="44"/>
        <v>0</v>
      </c>
      <c r="BQ54" s="66">
        <f t="shared" si="44"/>
        <v>0</v>
      </c>
      <c r="BR54" s="66">
        <f t="shared" si="44"/>
        <v>0</v>
      </c>
      <c r="BS54" s="66">
        <f t="shared" si="44"/>
        <v>0</v>
      </c>
      <c r="BT54" s="66">
        <f t="shared" si="44"/>
        <v>0</v>
      </c>
      <c r="BU54" s="66">
        <f t="shared" si="44"/>
        <v>0</v>
      </c>
      <c r="BV54" s="66">
        <f t="shared" si="44"/>
        <v>0</v>
      </c>
      <c r="BW54" s="66">
        <f t="shared" si="44"/>
        <v>0</v>
      </c>
      <c r="BX54" s="66">
        <f t="shared" si="44"/>
        <v>0</v>
      </c>
      <c r="BY54" s="66">
        <f t="shared" si="44"/>
        <v>0</v>
      </c>
      <c r="BZ54" s="66">
        <f t="shared" si="45"/>
        <v>0</v>
      </c>
      <c r="CA54" s="66"/>
      <c r="CB54" s="66">
        <f t="shared" si="46"/>
        <v>0</v>
      </c>
      <c r="CC54" s="22">
        <f t="shared" si="8"/>
        <v>0</v>
      </c>
      <c r="CD54" s="66">
        <f t="shared" si="47"/>
        <v>0</v>
      </c>
      <c r="CE54" s="66"/>
      <c r="CF54" s="66"/>
      <c r="CG54" s="66"/>
      <c r="CH54" s="66"/>
      <c r="CI54" s="66"/>
      <c r="CJ54" s="66"/>
      <c r="CK54" s="66"/>
      <c r="CL54" s="66"/>
      <c r="CM54" s="66"/>
      <c r="CN54" s="66"/>
      <c r="CO54" s="66"/>
      <c r="CP54" s="66"/>
      <c r="CQ54" s="66"/>
      <c r="CR54" s="66"/>
      <c r="CS54" s="66"/>
      <c r="CT54" s="66"/>
      <c r="CU54" s="66"/>
      <c r="CV54" s="66"/>
      <c r="CW54" s="66"/>
      <c r="CX54" s="66"/>
      <c r="CY54" s="66"/>
      <c r="CZ54" s="66"/>
      <c r="DA54" s="66"/>
      <c r="DB54" s="22">
        <f t="shared" si="10"/>
        <v>1</v>
      </c>
      <c r="DC54" s="66">
        <f t="shared" si="48"/>
        <v>17000000</v>
      </c>
      <c r="DD54" s="66">
        <f t="shared" si="49"/>
        <v>0</v>
      </c>
      <c r="DE54" s="66">
        <f t="shared" si="49"/>
        <v>0</v>
      </c>
      <c r="DF54" s="66">
        <f t="shared" si="49"/>
        <v>0</v>
      </c>
      <c r="DG54" s="66">
        <f t="shared" si="49"/>
        <v>0</v>
      </c>
      <c r="DH54" s="66">
        <f t="shared" si="49"/>
        <v>0</v>
      </c>
      <c r="DI54" s="66">
        <f t="shared" si="49"/>
        <v>0</v>
      </c>
      <c r="DJ54" s="66">
        <f t="shared" si="49"/>
        <v>0</v>
      </c>
      <c r="DK54" s="66">
        <f t="shared" si="49"/>
        <v>17000000</v>
      </c>
      <c r="DL54" s="66">
        <f t="shared" si="49"/>
        <v>0</v>
      </c>
      <c r="DM54" s="66">
        <f t="shared" si="49"/>
        <v>0</v>
      </c>
      <c r="DN54" s="66">
        <f t="shared" si="49"/>
        <v>0</v>
      </c>
      <c r="DO54" s="66">
        <f t="shared" si="49"/>
        <v>0</v>
      </c>
      <c r="DP54" s="66">
        <f t="shared" si="49"/>
        <v>0</v>
      </c>
      <c r="DQ54" s="66">
        <f t="shared" si="49"/>
        <v>0</v>
      </c>
      <c r="DR54" s="66">
        <f t="shared" si="49"/>
        <v>0</v>
      </c>
      <c r="DS54" s="66">
        <f t="shared" si="49"/>
        <v>0</v>
      </c>
      <c r="DT54" s="66">
        <f t="shared" si="50"/>
        <v>0</v>
      </c>
      <c r="DU54" s="66">
        <f t="shared" si="50"/>
        <v>0</v>
      </c>
      <c r="DV54" s="66">
        <f t="shared" si="50"/>
        <v>0</v>
      </c>
      <c r="DW54" s="66">
        <f t="shared" si="50"/>
        <v>0</v>
      </c>
      <c r="DX54" s="66">
        <f t="shared" si="50"/>
        <v>0</v>
      </c>
      <c r="DY54" s="66"/>
      <c r="DZ54" s="66">
        <f t="shared" si="51"/>
        <v>0</v>
      </c>
      <c r="EC54" s="170">
        <v>17000000</v>
      </c>
      <c r="ED54" s="169">
        <v>0</v>
      </c>
      <c r="EE54" s="171">
        <f t="shared" si="52"/>
        <v>0</v>
      </c>
    </row>
    <row r="55" spans="1:135" ht="27.6" hidden="1" customHeight="1" x14ac:dyDescent="0.3">
      <c r="A55" s="128"/>
      <c r="B55" s="123"/>
      <c r="C55" s="121" t="s">
        <v>246</v>
      </c>
      <c r="D55" s="69" t="s">
        <v>245</v>
      </c>
      <c r="E55" s="124">
        <v>410</v>
      </c>
      <c r="F55" s="127" t="s">
        <v>127</v>
      </c>
      <c r="G55" s="66">
        <f t="shared" si="39"/>
        <v>17000000</v>
      </c>
      <c r="H55" s="66"/>
      <c r="I55" s="66"/>
      <c r="J55" s="66"/>
      <c r="K55" s="66"/>
      <c r="L55" s="66"/>
      <c r="M55" s="66"/>
      <c r="N55" s="66"/>
      <c r="O55" s="66">
        <v>10000000</v>
      </c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>
        <f>7000000</f>
        <v>7000000</v>
      </c>
      <c r="AA55" s="66"/>
      <c r="AB55" s="66"/>
      <c r="AC55" s="66"/>
      <c r="AD55" s="66"/>
      <c r="AE55" s="22">
        <f t="shared" si="29"/>
        <v>0.59151411764705886</v>
      </c>
      <c r="AF55" s="66">
        <f t="shared" si="40"/>
        <v>10055740</v>
      </c>
      <c r="AG55" s="66"/>
      <c r="AH55" s="66"/>
      <c r="AI55" s="66"/>
      <c r="AJ55" s="66"/>
      <c r="AK55" s="66"/>
      <c r="AL55" s="66"/>
      <c r="AM55" s="66"/>
      <c r="AN55" s="66">
        <f>+'[1]OCTUBRE 2019'!$Q$2190</f>
        <v>7055740</v>
      </c>
      <c r="AO55" s="66"/>
      <c r="AP55" s="66"/>
      <c r="AQ55" s="66"/>
      <c r="AR55" s="66"/>
      <c r="AS55" s="66"/>
      <c r="AT55" s="66"/>
      <c r="AU55" s="66"/>
      <c r="AV55" s="66"/>
      <c r="AW55" s="66"/>
      <c r="AX55" s="66"/>
      <c r="AY55" s="66">
        <f>+'[2]SEPTIEMBRE 2019'!$AB$1960</f>
        <v>3000000</v>
      </c>
      <c r="AZ55" s="66"/>
      <c r="BA55" s="66"/>
      <c r="BB55" s="66"/>
      <c r="BC55" s="66"/>
      <c r="BD55" s="22">
        <f t="shared" si="3"/>
        <v>0.40848588235294114</v>
      </c>
      <c r="BE55" s="66">
        <f t="shared" si="41"/>
        <v>6944260</v>
      </c>
      <c r="BF55" s="66">
        <f t="shared" si="42"/>
        <v>0</v>
      </c>
      <c r="BG55" s="66">
        <f t="shared" si="42"/>
        <v>0</v>
      </c>
      <c r="BH55" s="66">
        <f t="shared" si="42"/>
        <v>0</v>
      </c>
      <c r="BI55" s="66">
        <f t="shared" si="43"/>
        <v>0</v>
      </c>
      <c r="BJ55" s="66">
        <f t="shared" si="44"/>
        <v>0</v>
      </c>
      <c r="BK55" s="66">
        <f t="shared" si="44"/>
        <v>0</v>
      </c>
      <c r="BL55" s="66">
        <f t="shared" si="44"/>
        <v>0</v>
      </c>
      <c r="BM55" s="66">
        <f t="shared" si="44"/>
        <v>2944260</v>
      </c>
      <c r="BN55" s="66">
        <f t="shared" si="44"/>
        <v>0</v>
      </c>
      <c r="BO55" s="66">
        <f t="shared" si="44"/>
        <v>0</v>
      </c>
      <c r="BP55" s="66">
        <f t="shared" si="44"/>
        <v>0</v>
      </c>
      <c r="BQ55" s="66">
        <f t="shared" si="44"/>
        <v>0</v>
      </c>
      <c r="BR55" s="66">
        <f t="shared" si="44"/>
        <v>0</v>
      </c>
      <c r="BS55" s="66">
        <f t="shared" si="44"/>
        <v>0</v>
      </c>
      <c r="BT55" s="66">
        <f t="shared" si="44"/>
        <v>0</v>
      </c>
      <c r="BU55" s="66">
        <f t="shared" si="44"/>
        <v>0</v>
      </c>
      <c r="BV55" s="66">
        <f t="shared" si="44"/>
        <v>0</v>
      </c>
      <c r="BW55" s="66">
        <f t="shared" si="44"/>
        <v>0</v>
      </c>
      <c r="BX55" s="66">
        <f t="shared" si="44"/>
        <v>4000000</v>
      </c>
      <c r="BY55" s="66">
        <f t="shared" si="44"/>
        <v>0</v>
      </c>
      <c r="BZ55" s="66">
        <f t="shared" si="45"/>
        <v>0</v>
      </c>
      <c r="CA55" s="66"/>
      <c r="CB55" s="66">
        <f t="shared" si="46"/>
        <v>0</v>
      </c>
      <c r="CC55" s="22">
        <f t="shared" si="8"/>
        <v>0.59151411764705886</v>
      </c>
      <c r="CD55" s="66">
        <f t="shared" si="47"/>
        <v>10055740</v>
      </c>
      <c r="CE55" s="66"/>
      <c r="CF55" s="66"/>
      <c r="CG55" s="66"/>
      <c r="CH55" s="66"/>
      <c r="CI55" s="66"/>
      <c r="CJ55" s="66"/>
      <c r="CK55" s="66"/>
      <c r="CL55" s="66">
        <f>+'[1]OCTUBRE 2019'!$Q$2190</f>
        <v>7055740</v>
      </c>
      <c r="CM55" s="66"/>
      <c r="CN55" s="66"/>
      <c r="CO55" s="66"/>
      <c r="CP55" s="66"/>
      <c r="CQ55" s="66"/>
      <c r="CR55" s="66"/>
      <c r="CS55" s="66"/>
      <c r="CT55" s="66"/>
      <c r="CU55" s="66"/>
      <c r="CV55" s="66"/>
      <c r="CW55" s="66">
        <f>+'[1]OCTUBRE 2019'!$AB$2190</f>
        <v>3000000</v>
      </c>
      <c r="CX55" s="66"/>
      <c r="CY55" s="66"/>
      <c r="CZ55" s="66"/>
      <c r="DA55" s="66"/>
      <c r="DB55" s="22">
        <f t="shared" si="10"/>
        <v>0.40848588235294114</v>
      </c>
      <c r="DC55" s="66">
        <f t="shared" si="48"/>
        <v>6944260</v>
      </c>
      <c r="DD55" s="66">
        <f t="shared" si="49"/>
        <v>0</v>
      </c>
      <c r="DE55" s="66">
        <f t="shared" si="49"/>
        <v>0</v>
      </c>
      <c r="DF55" s="66">
        <f t="shared" si="49"/>
        <v>0</v>
      </c>
      <c r="DG55" s="66">
        <f t="shared" si="49"/>
        <v>0</v>
      </c>
      <c r="DH55" s="66">
        <f t="shared" si="49"/>
        <v>0</v>
      </c>
      <c r="DI55" s="66">
        <f t="shared" si="49"/>
        <v>0</v>
      </c>
      <c r="DJ55" s="66">
        <f t="shared" si="49"/>
        <v>0</v>
      </c>
      <c r="DK55" s="66">
        <f t="shared" si="49"/>
        <v>2944260</v>
      </c>
      <c r="DL55" s="66">
        <f t="shared" si="49"/>
        <v>0</v>
      </c>
      <c r="DM55" s="66">
        <f t="shared" si="49"/>
        <v>0</v>
      </c>
      <c r="DN55" s="66">
        <f t="shared" si="49"/>
        <v>0</v>
      </c>
      <c r="DO55" s="66">
        <f t="shared" si="49"/>
        <v>0</v>
      </c>
      <c r="DP55" s="66">
        <f t="shared" si="49"/>
        <v>0</v>
      </c>
      <c r="DQ55" s="66">
        <f t="shared" si="49"/>
        <v>0</v>
      </c>
      <c r="DR55" s="66">
        <f t="shared" si="49"/>
        <v>0</v>
      </c>
      <c r="DS55" s="66">
        <f t="shared" si="49"/>
        <v>0</v>
      </c>
      <c r="DT55" s="66">
        <f t="shared" si="50"/>
        <v>0</v>
      </c>
      <c r="DU55" s="66">
        <f t="shared" si="50"/>
        <v>0</v>
      </c>
      <c r="DV55" s="66">
        <f t="shared" si="50"/>
        <v>4000000</v>
      </c>
      <c r="DW55" s="66">
        <f t="shared" si="50"/>
        <v>0</v>
      </c>
      <c r="DX55" s="66">
        <f t="shared" si="50"/>
        <v>0</v>
      </c>
      <c r="DY55" s="66"/>
      <c r="DZ55" s="66">
        <f t="shared" si="51"/>
        <v>0</v>
      </c>
      <c r="EC55" s="170">
        <v>17000000</v>
      </c>
      <c r="ED55" s="169">
        <v>10055740</v>
      </c>
      <c r="EE55" s="171">
        <f t="shared" si="52"/>
        <v>0.59151411764705886</v>
      </c>
    </row>
    <row r="56" spans="1:135" ht="31.5" hidden="1" customHeight="1" x14ac:dyDescent="0.3">
      <c r="A56" s="128"/>
      <c r="B56" s="123"/>
      <c r="C56" s="121" t="s">
        <v>244</v>
      </c>
      <c r="D56" s="69" t="s">
        <v>243</v>
      </c>
      <c r="E56" s="124">
        <v>410</v>
      </c>
      <c r="F56" s="127" t="s">
        <v>127</v>
      </c>
      <c r="G56" s="66">
        <f t="shared" si="39"/>
        <v>24000000</v>
      </c>
      <c r="H56" s="66"/>
      <c r="I56" s="66"/>
      <c r="J56" s="66"/>
      <c r="K56" s="66"/>
      <c r="L56" s="66"/>
      <c r="M56" s="66"/>
      <c r="N56" s="66"/>
      <c r="O56" s="66">
        <v>15000000</v>
      </c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>
        <f>9000000</f>
        <v>9000000</v>
      </c>
      <c r="AA56" s="66"/>
      <c r="AB56" s="66"/>
      <c r="AC56" s="66"/>
      <c r="AD56" s="66"/>
      <c r="AE56" s="22">
        <f t="shared" si="29"/>
        <v>0.16250000000000001</v>
      </c>
      <c r="AF56" s="66">
        <f t="shared" si="40"/>
        <v>3900000</v>
      </c>
      <c r="AG56" s="66"/>
      <c r="AH56" s="66"/>
      <c r="AI56" s="66"/>
      <c r="AJ56" s="66"/>
      <c r="AK56" s="66"/>
      <c r="AL56" s="66"/>
      <c r="AM56" s="66"/>
      <c r="AN56" s="66">
        <f>+'[2]SEPTIEMBRE 2019'!$Q$1974</f>
        <v>900000</v>
      </c>
      <c r="AO56" s="66"/>
      <c r="AP56" s="66"/>
      <c r="AQ56" s="66"/>
      <c r="AR56" s="66"/>
      <c r="AS56" s="66"/>
      <c r="AT56" s="66"/>
      <c r="AU56" s="66"/>
      <c r="AV56" s="66"/>
      <c r="AW56" s="66"/>
      <c r="AX56" s="66"/>
      <c r="AY56" s="66">
        <f>+'[1]OCTUBRE 2019'!$AB$2204</f>
        <v>3000000</v>
      </c>
      <c r="AZ56" s="66"/>
      <c r="BA56" s="66"/>
      <c r="BB56" s="66"/>
      <c r="BC56" s="66"/>
      <c r="BD56" s="22">
        <f t="shared" si="3"/>
        <v>0.83750000000000002</v>
      </c>
      <c r="BE56" s="66">
        <f t="shared" si="41"/>
        <v>20100000</v>
      </c>
      <c r="BF56" s="66">
        <f t="shared" si="42"/>
        <v>0</v>
      </c>
      <c r="BG56" s="66">
        <f t="shared" si="42"/>
        <v>0</v>
      </c>
      <c r="BH56" s="66">
        <f t="shared" si="42"/>
        <v>0</v>
      </c>
      <c r="BI56" s="66">
        <f t="shared" si="43"/>
        <v>0</v>
      </c>
      <c r="BJ56" s="66">
        <f t="shared" si="44"/>
        <v>0</v>
      </c>
      <c r="BK56" s="66">
        <f t="shared" si="44"/>
        <v>0</v>
      </c>
      <c r="BL56" s="66">
        <f t="shared" si="44"/>
        <v>0</v>
      </c>
      <c r="BM56" s="66">
        <f t="shared" si="44"/>
        <v>14100000</v>
      </c>
      <c r="BN56" s="66">
        <f t="shared" si="44"/>
        <v>0</v>
      </c>
      <c r="BO56" s="66">
        <f t="shared" si="44"/>
        <v>0</v>
      </c>
      <c r="BP56" s="66">
        <f t="shared" si="44"/>
        <v>0</v>
      </c>
      <c r="BQ56" s="66">
        <f t="shared" si="44"/>
        <v>0</v>
      </c>
      <c r="BR56" s="66">
        <f t="shared" si="44"/>
        <v>0</v>
      </c>
      <c r="BS56" s="66">
        <f t="shared" si="44"/>
        <v>0</v>
      </c>
      <c r="BT56" s="66">
        <f t="shared" si="44"/>
        <v>0</v>
      </c>
      <c r="BU56" s="66">
        <f t="shared" si="44"/>
        <v>0</v>
      </c>
      <c r="BV56" s="66">
        <f t="shared" si="44"/>
        <v>0</v>
      </c>
      <c r="BW56" s="66">
        <f t="shared" si="44"/>
        <v>0</v>
      </c>
      <c r="BX56" s="66">
        <f t="shared" si="44"/>
        <v>6000000</v>
      </c>
      <c r="BY56" s="66">
        <f t="shared" ref="BY56:BY80" si="53">AA56-AZ56</f>
        <v>0</v>
      </c>
      <c r="BZ56" s="66">
        <f t="shared" si="45"/>
        <v>0</v>
      </c>
      <c r="CA56" s="66"/>
      <c r="CB56" s="66">
        <f t="shared" si="46"/>
        <v>0</v>
      </c>
      <c r="CC56" s="22">
        <f t="shared" si="8"/>
        <v>0.16250000000000001</v>
      </c>
      <c r="CD56" s="66">
        <f t="shared" si="47"/>
        <v>3900000</v>
      </c>
      <c r="CE56" s="66"/>
      <c r="CF56" s="66"/>
      <c r="CG56" s="66"/>
      <c r="CH56" s="66"/>
      <c r="CI56" s="66"/>
      <c r="CJ56" s="66"/>
      <c r="CK56" s="66"/>
      <c r="CL56" s="66">
        <f>+'[2]SEPTIEMBRE 2019'!$H$1972</f>
        <v>900000</v>
      </c>
      <c r="CM56" s="66"/>
      <c r="CN56" s="66"/>
      <c r="CO56" s="66"/>
      <c r="CP56" s="66"/>
      <c r="CQ56" s="66"/>
      <c r="CR56" s="66"/>
      <c r="CS56" s="66"/>
      <c r="CT56" s="66"/>
      <c r="CU56" s="66"/>
      <c r="CV56" s="66"/>
      <c r="CW56" s="66">
        <f>+'[1]OCTUBRE 2019'!$H$2206</f>
        <v>3000000</v>
      </c>
      <c r="CX56" s="66"/>
      <c r="CY56" s="66"/>
      <c r="CZ56" s="66"/>
      <c r="DA56" s="66"/>
      <c r="DB56" s="22">
        <f t="shared" si="10"/>
        <v>0.83750000000000002</v>
      </c>
      <c r="DC56" s="66">
        <f t="shared" si="48"/>
        <v>20100000</v>
      </c>
      <c r="DD56" s="66">
        <f t="shared" si="49"/>
        <v>0</v>
      </c>
      <c r="DE56" s="66">
        <f t="shared" si="49"/>
        <v>0</v>
      </c>
      <c r="DF56" s="66">
        <f t="shared" si="49"/>
        <v>0</v>
      </c>
      <c r="DG56" s="66">
        <f t="shared" si="49"/>
        <v>0</v>
      </c>
      <c r="DH56" s="66">
        <f t="shared" si="49"/>
        <v>0</v>
      </c>
      <c r="DI56" s="66">
        <f t="shared" si="49"/>
        <v>0</v>
      </c>
      <c r="DJ56" s="66">
        <f t="shared" si="49"/>
        <v>0</v>
      </c>
      <c r="DK56" s="66">
        <f t="shared" si="49"/>
        <v>14100000</v>
      </c>
      <c r="DL56" s="66">
        <f t="shared" si="49"/>
        <v>0</v>
      </c>
      <c r="DM56" s="66">
        <f t="shared" si="49"/>
        <v>0</v>
      </c>
      <c r="DN56" s="66">
        <f t="shared" si="49"/>
        <v>0</v>
      </c>
      <c r="DO56" s="66">
        <f t="shared" si="49"/>
        <v>0</v>
      </c>
      <c r="DP56" s="66">
        <f t="shared" si="49"/>
        <v>0</v>
      </c>
      <c r="DQ56" s="66">
        <f t="shared" si="49"/>
        <v>0</v>
      </c>
      <c r="DR56" s="66">
        <f t="shared" si="49"/>
        <v>0</v>
      </c>
      <c r="DS56" s="66">
        <f t="shared" ref="DS56:DS80" si="54">W56-CT56</f>
        <v>0</v>
      </c>
      <c r="DT56" s="66">
        <f t="shared" si="50"/>
        <v>0</v>
      </c>
      <c r="DU56" s="66">
        <f t="shared" si="50"/>
        <v>0</v>
      </c>
      <c r="DV56" s="66">
        <f t="shared" si="50"/>
        <v>6000000</v>
      </c>
      <c r="DW56" s="66">
        <f t="shared" si="50"/>
        <v>0</v>
      </c>
      <c r="DX56" s="66">
        <f t="shared" si="50"/>
        <v>0</v>
      </c>
      <c r="DY56" s="66"/>
      <c r="DZ56" s="66">
        <f t="shared" si="51"/>
        <v>0</v>
      </c>
      <c r="EC56" s="170">
        <v>24000000</v>
      </c>
      <c r="ED56" s="169">
        <v>3900000</v>
      </c>
      <c r="EE56" s="171">
        <f t="shared" si="52"/>
        <v>0.16250000000000001</v>
      </c>
    </row>
    <row r="57" spans="1:135" ht="30.75" hidden="1" customHeight="1" x14ac:dyDescent="0.3">
      <c r="A57" s="128"/>
      <c r="B57" s="123"/>
      <c r="C57" s="121" t="s">
        <v>242</v>
      </c>
      <c r="D57" s="69" t="s">
        <v>241</v>
      </c>
      <c r="E57" s="124">
        <v>410</v>
      </c>
      <c r="F57" s="127" t="s">
        <v>127</v>
      </c>
      <c r="G57" s="66">
        <f t="shared" si="39"/>
        <v>24000000</v>
      </c>
      <c r="H57" s="66"/>
      <c r="I57" s="66"/>
      <c r="J57" s="66"/>
      <c r="K57" s="66"/>
      <c r="L57" s="66"/>
      <c r="M57" s="66"/>
      <c r="N57" s="66"/>
      <c r="O57" s="66">
        <v>16000000</v>
      </c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>
        <v>8000000</v>
      </c>
      <c r="AA57" s="66"/>
      <c r="AB57" s="66"/>
      <c r="AC57" s="66"/>
      <c r="AD57" s="66"/>
      <c r="AE57" s="22">
        <f t="shared" si="29"/>
        <v>0.14903870833333333</v>
      </c>
      <c r="AF57" s="66">
        <f t="shared" si="40"/>
        <v>3576929</v>
      </c>
      <c r="AG57" s="66"/>
      <c r="AH57" s="66"/>
      <c r="AI57" s="66"/>
      <c r="AJ57" s="66"/>
      <c r="AK57" s="66"/>
      <c r="AL57" s="66"/>
      <c r="AM57" s="66"/>
      <c r="AN57" s="66">
        <f>+'[1]OCTUBRE 2019'!$Q$2212</f>
        <v>3576929</v>
      </c>
      <c r="AO57" s="66"/>
      <c r="AP57" s="66"/>
      <c r="AQ57" s="66"/>
      <c r="AR57" s="66"/>
      <c r="AS57" s="66"/>
      <c r="AT57" s="66"/>
      <c r="AU57" s="66"/>
      <c r="AV57" s="66"/>
      <c r="AW57" s="66"/>
      <c r="AX57" s="66"/>
      <c r="AY57" s="66"/>
      <c r="AZ57" s="66"/>
      <c r="BA57" s="66"/>
      <c r="BB57" s="66"/>
      <c r="BC57" s="66"/>
      <c r="BD57" s="22">
        <f t="shared" si="3"/>
        <v>0.85096129166666667</v>
      </c>
      <c r="BE57" s="66">
        <f t="shared" si="41"/>
        <v>20423071</v>
      </c>
      <c r="BF57" s="66">
        <f t="shared" si="42"/>
        <v>0</v>
      </c>
      <c r="BG57" s="66">
        <f t="shared" si="42"/>
        <v>0</v>
      </c>
      <c r="BH57" s="66">
        <f t="shared" si="42"/>
        <v>0</v>
      </c>
      <c r="BI57" s="66">
        <f t="shared" si="43"/>
        <v>0</v>
      </c>
      <c r="BJ57" s="66">
        <f t="shared" ref="BJ57:BX73" si="55">L57-AK57</f>
        <v>0</v>
      </c>
      <c r="BK57" s="66">
        <f t="shared" si="55"/>
        <v>0</v>
      </c>
      <c r="BL57" s="66">
        <f t="shared" si="55"/>
        <v>0</v>
      </c>
      <c r="BM57" s="66">
        <f t="shared" si="55"/>
        <v>12423071</v>
      </c>
      <c r="BN57" s="66">
        <f t="shared" si="55"/>
        <v>0</v>
      </c>
      <c r="BO57" s="66">
        <f t="shared" si="55"/>
        <v>0</v>
      </c>
      <c r="BP57" s="66">
        <f t="shared" si="55"/>
        <v>0</v>
      </c>
      <c r="BQ57" s="66">
        <f t="shared" si="55"/>
        <v>0</v>
      </c>
      <c r="BR57" s="66">
        <f t="shared" si="55"/>
        <v>0</v>
      </c>
      <c r="BS57" s="66">
        <f t="shared" si="55"/>
        <v>0</v>
      </c>
      <c r="BT57" s="66">
        <f t="shared" si="55"/>
        <v>0</v>
      </c>
      <c r="BU57" s="66">
        <f t="shared" si="55"/>
        <v>0</v>
      </c>
      <c r="BV57" s="66">
        <f t="shared" si="55"/>
        <v>0</v>
      </c>
      <c r="BW57" s="66">
        <f t="shared" si="55"/>
        <v>0</v>
      </c>
      <c r="BX57" s="66">
        <f t="shared" si="55"/>
        <v>8000000</v>
      </c>
      <c r="BY57" s="66">
        <f t="shared" si="53"/>
        <v>0</v>
      </c>
      <c r="BZ57" s="66">
        <f t="shared" si="45"/>
        <v>0</v>
      </c>
      <c r="CA57" s="66"/>
      <c r="CB57" s="66">
        <f t="shared" si="46"/>
        <v>0</v>
      </c>
      <c r="CC57" s="22">
        <f t="shared" si="8"/>
        <v>0.14903870833333333</v>
      </c>
      <c r="CD57" s="66">
        <f t="shared" si="47"/>
        <v>3576929</v>
      </c>
      <c r="CE57" s="66"/>
      <c r="CF57" s="66"/>
      <c r="CG57" s="66"/>
      <c r="CH57" s="66"/>
      <c r="CI57" s="66"/>
      <c r="CJ57" s="66"/>
      <c r="CK57" s="66"/>
      <c r="CL57" s="66">
        <f>+'[1]OCTUBRE 2019'!$H$2210</f>
        <v>3576929</v>
      </c>
      <c r="CM57" s="66"/>
      <c r="CN57" s="66"/>
      <c r="CO57" s="66"/>
      <c r="CP57" s="66"/>
      <c r="CQ57" s="66"/>
      <c r="CR57" s="66"/>
      <c r="CS57" s="66"/>
      <c r="CT57" s="66"/>
      <c r="CU57" s="66"/>
      <c r="CV57" s="66"/>
      <c r="CW57" s="66"/>
      <c r="CX57" s="66"/>
      <c r="CY57" s="66"/>
      <c r="CZ57" s="66"/>
      <c r="DA57" s="66"/>
      <c r="DB57" s="22">
        <f t="shared" si="10"/>
        <v>0.85096129166666667</v>
      </c>
      <c r="DC57" s="66">
        <f t="shared" si="48"/>
        <v>20423071</v>
      </c>
      <c r="DD57" s="66">
        <f t="shared" ref="DD57:DR73" si="56">H57-CE57</f>
        <v>0</v>
      </c>
      <c r="DE57" s="66">
        <f t="shared" si="56"/>
        <v>0</v>
      </c>
      <c r="DF57" s="66">
        <f t="shared" si="56"/>
        <v>0</v>
      </c>
      <c r="DG57" s="66">
        <f t="shared" si="56"/>
        <v>0</v>
      </c>
      <c r="DH57" s="66">
        <f t="shared" si="56"/>
        <v>0</v>
      </c>
      <c r="DI57" s="66">
        <f t="shared" si="56"/>
        <v>0</v>
      </c>
      <c r="DJ57" s="66">
        <f t="shared" si="56"/>
        <v>0</v>
      </c>
      <c r="DK57" s="66">
        <f t="shared" si="56"/>
        <v>12423071</v>
      </c>
      <c r="DL57" s="66">
        <f t="shared" si="56"/>
        <v>0</v>
      </c>
      <c r="DM57" s="66">
        <f t="shared" si="56"/>
        <v>0</v>
      </c>
      <c r="DN57" s="66">
        <f t="shared" si="56"/>
        <v>0</v>
      </c>
      <c r="DO57" s="66">
        <f t="shared" si="56"/>
        <v>0</v>
      </c>
      <c r="DP57" s="66">
        <f t="shared" si="56"/>
        <v>0</v>
      </c>
      <c r="DQ57" s="66">
        <f t="shared" si="56"/>
        <v>0</v>
      </c>
      <c r="DR57" s="66">
        <f t="shared" si="56"/>
        <v>0</v>
      </c>
      <c r="DS57" s="66">
        <f t="shared" si="54"/>
        <v>0</v>
      </c>
      <c r="DT57" s="66">
        <f t="shared" si="50"/>
        <v>0</v>
      </c>
      <c r="DU57" s="66">
        <f t="shared" si="50"/>
        <v>0</v>
      </c>
      <c r="DV57" s="66">
        <f t="shared" si="50"/>
        <v>8000000</v>
      </c>
      <c r="DW57" s="66">
        <f t="shared" si="50"/>
        <v>0</v>
      </c>
      <c r="DX57" s="66">
        <f t="shared" si="50"/>
        <v>0</v>
      </c>
      <c r="DY57" s="66"/>
      <c r="DZ57" s="66">
        <f t="shared" si="51"/>
        <v>0</v>
      </c>
      <c r="EC57" s="170">
        <v>24000000</v>
      </c>
      <c r="ED57" s="169">
        <v>3576929</v>
      </c>
      <c r="EE57" s="171">
        <f t="shared" si="52"/>
        <v>0.14903870833333333</v>
      </c>
    </row>
    <row r="58" spans="1:135" ht="32.4" hidden="1" customHeight="1" x14ac:dyDescent="0.3">
      <c r="A58" s="128"/>
      <c r="B58" s="123"/>
      <c r="C58" s="121" t="s">
        <v>240</v>
      </c>
      <c r="D58" s="69" t="s">
        <v>239</v>
      </c>
      <c r="E58" s="124">
        <v>410</v>
      </c>
      <c r="F58" s="127" t="s">
        <v>127</v>
      </c>
      <c r="G58" s="66">
        <f t="shared" si="39"/>
        <v>40000000</v>
      </c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>
        <f>20000000+20000000</f>
        <v>40000000</v>
      </c>
      <c r="AA58" s="66"/>
      <c r="AB58" s="66"/>
      <c r="AC58" s="66"/>
      <c r="AD58" s="66"/>
      <c r="AE58" s="22">
        <f t="shared" si="29"/>
        <v>0.121786875</v>
      </c>
      <c r="AF58" s="66">
        <f t="shared" si="40"/>
        <v>4871475</v>
      </c>
      <c r="AG58" s="66"/>
      <c r="AH58" s="66"/>
      <c r="AI58" s="66"/>
      <c r="AJ58" s="66"/>
      <c r="AK58" s="66"/>
      <c r="AL58" s="66"/>
      <c r="AM58" s="66"/>
      <c r="AN58" s="66"/>
      <c r="AO58" s="66"/>
      <c r="AP58" s="66"/>
      <c r="AQ58" s="66"/>
      <c r="AR58" s="66"/>
      <c r="AS58" s="66"/>
      <c r="AT58" s="66"/>
      <c r="AU58" s="66"/>
      <c r="AV58" s="66"/>
      <c r="AW58" s="66"/>
      <c r="AX58" s="66"/>
      <c r="AY58" s="66">
        <f>+'[1]OCTUBRE 2019'!$AB$2225</f>
        <v>4871475</v>
      </c>
      <c r="AZ58" s="66"/>
      <c r="BA58" s="66"/>
      <c r="BB58" s="66"/>
      <c r="BC58" s="66"/>
      <c r="BD58" s="22">
        <f t="shared" si="3"/>
        <v>0.87821312500000004</v>
      </c>
      <c r="BE58" s="66">
        <f t="shared" si="41"/>
        <v>35128525</v>
      </c>
      <c r="BF58" s="66">
        <f t="shared" si="42"/>
        <v>0</v>
      </c>
      <c r="BG58" s="66">
        <f t="shared" si="42"/>
        <v>0</v>
      </c>
      <c r="BH58" s="66">
        <f t="shared" si="42"/>
        <v>0</v>
      </c>
      <c r="BI58" s="66">
        <f t="shared" si="43"/>
        <v>0</v>
      </c>
      <c r="BJ58" s="66">
        <f t="shared" si="55"/>
        <v>0</v>
      </c>
      <c r="BK58" s="66">
        <f t="shared" si="55"/>
        <v>0</v>
      </c>
      <c r="BL58" s="66">
        <f t="shared" si="55"/>
        <v>0</v>
      </c>
      <c r="BM58" s="66">
        <f t="shared" si="55"/>
        <v>0</v>
      </c>
      <c r="BN58" s="66">
        <f t="shared" si="55"/>
        <v>0</v>
      </c>
      <c r="BO58" s="66">
        <f t="shared" si="55"/>
        <v>0</v>
      </c>
      <c r="BP58" s="66">
        <f t="shared" si="55"/>
        <v>0</v>
      </c>
      <c r="BQ58" s="66">
        <f t="shared" si="55"/>
        <v>0</v>
      </c>
      <c r="BR58" s="66">
        <f t="shared" si="55"/>
        <v>0</v>
      </c>
      <c r="BS58" s="66">
        <f t="shared" si="55"/>
        <v>0</v>
      </c>
      <c r="BT58" s="66">
        <f t="shared" si="55"/>
        <v>0</v>
      </c>
      <c r="BU58" s="66">
        <f t="shared" si="55"/>
        <v>0</v>
      </c>
      <c r="BV58" s="66">
        <f t="shared" si="55"/>
        <v>0</v>
      </c>
      <c r="BW58" s="66">
        <f t="shared" si="55"/>
        <v>0</v>
      </c>
      <c r="BX58" s="66">
        <f t="shared" si="55"/>
        <v>35128525</v>
      </c>
      <c r="BY58" s="66">
        <f t="shared" si="53"/>
        <v>0</v>
      </c>
      <c r="BZ58" s="66">
        <f t="shared" si="45"/>
        <v>0</v>
      </c>
      <c r="CA58" s="66"/>
      <c r="CB58" s="66">
        <f t="shared" si="46"/>
        <v>0</v>
      </c>
      <c r="CC58" s="22">
        <f t="shared" si="8"/>
        <v>2.1786875000000001E-2</v>
      </c>
      <c r="CD58" s="66">
        <f t="shared" si="47"/>
        <v>871475</v>
      </c>
      <c r="CE58" s="66"/>
      <c r="CF58" s="66"/>
      <c r="CG58" s="66"/>
      <c r="CH58" s="66"/>
      <c r="CI58" s="66"/>
      <c r="CJ58" s="66"/>
      <c r="CK58" s="66"/>
      <c r="CL58" s="66"/>
      <c r="CM58" s="66"/>
      <c r="CN58" s="66"/>
      <c r="CO58" s="66"/>
      <c r="CP58" s="66"/>
      <c r="CQ58" s="66"/>
      <c r="CR58" s="66"/>
      <c r="CS58" s="66"/>
      <c r="CT58" s="66"/>
      <c r="CU58" s="66"/>
      <c r="CV58" s="66"/>
      <c r="CW58" s="66">
        <f>+'[2]SEPTIEMBRE 2019'!$H$1984</f>
        <v>871475</v>
      </c>
      <c r="CX58" s="66"/>
      <c r="CY58" s="66"/>
      <c r="CZ58" s="66"/>
      <c r="DA58" s="66"/>
      <c r="DB58" s="22">
        <f t="shared" si="10"/>
        <v>0.97821312500000002</v>
      </c>
      <c r="DC58" s="66">
        <f t="shared" si="48"/>
        <v>39128525</v>
      </c>
      <c r="DD58" s="66">
        <f t="shared" si="56"/>
        <v>0</v>
      </c>
      <c r="DE58" s="66">
        <f t="shared" si="56"/>
        <v>0</v>
      </c>
      <c r="DF58" s="66">
        <f t="shared" si="56"/>
        <v>0</v>
      </c>
      <c r="DG58" s="66">
        <f t="shared" si="56"/>
        <v>0</v>
      </c>
      <c r="DH58" s="66">
        <f t="shared" si="56"/>
        <v>0</v>
      </c>
      <c r="DI58" s="66">
        <f t="shared" si="56"/>
        <v>0</v>
      </c>
      <c r="DJ58" s="66">
        <f t="shared" si="56"/>
        <v>0</v>
      </c>
      <c r="DK58" s="66">
        <f t="shared" si="56"/>
        <v>0</v>
      </c>
      <c r="DL58" s="66">
        <f t="shared" si="56"/>
        <v>0</v>
      </c>
      <c r="DM58" s="66">
        <f t="shared" si="56"/>
        <v>0</v>
      </c>
      <c r="DN58" s="66">
        <f t="shared" si="56"/>
        <v>0</v>
      </c>
      <c r="DO58" s="66">
        <f t="shared" si="56"/>
        <v>0</v>
      </c>
      <c r="DP58" s="66">
        <f t="shared" si="56"/>
        <v>0</v>
      </c>
      <c r="DQ58" s="66">
        <f t="shared" si="56"/>
        <v>0</v>
      </c>
      <c r="DR58" s="66">
        <f t="shared" si="56"/>
        <v>0</v>
      </c>
      <c r="DS58" s="66">
        <f t="shared" si="54"/>
        <v>0</v>
      </c>
      <c r="DT58" s="66">
        <f t="shared" si="50"/>
        <v>0</v>
      </c>
      <c r="DU58" s="66">
        <f t="shared" si="50"/>
        <v>0</v>
      </c>
      <c r="DV58" s="66">
        <f t="shared" si="50"/>
        <v>39128525</v>
      </c>
      <c r="DW58" s="66">
        <f t="shared" si="50"/>
        <v>0</v>
      </c>
      <c r="DX58" s="66">
        <f t="shared" si="50"/>
        <v>0</v>
      </c>
      <c r="DY58" s="66"/>
      <c r="DZ58" s="66">
        <f t="shared" si="51"/>
        <v>0</v>
      </c>
      <c r="EC58" s="170">
        <v>40000000</v>
      </c>
      <c r="ED58" s="169">
        <v>871475</v>
      </c>
      <c r="EE58" s="171">
        <f t="shared" si="52"/>
        <v>2.1786875000000001E-2</v>
      </c>
    </row>
    <row r="59" spans="1:135" ht="33.75" hidden="1" customHeight="1" x14ac:dyDescent="0.3">
      <c r="A59" s="128"/>
      <c r="B59" s="123"/>
      <c r="C59" s="121" t="s">
        <v>238</v>
      </c>
      <c r="D59" s="69" t="s">
        <v>237</v>
      </c>
      <c r="E59" s="124">
        <v>410</v>
      </c>
      <c r="F59" s="127" t="s">
        <v>127</v>
      </c>
      <c r="G59" s="66">
        <f t="shared" si="39"/>
        <v>0</v>
      </c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22" t="e">
        <f t="shared" si="29"/>
        <v>#DIV/0!</v>
      </c>
      <c r="AF59" s="66">
        <f t="shared" si="40"/>
        <v>0</v>
      </c>
      <c r="AG59" s="66"/>
      <c r="AH59" s="66"/>
      <c r="AI59" s="66"/>
      <c r="AJ59" s="66"/>
      <c r="AK59" s="66"/>
      <c r="AL59" s="66"/>
      <c r="AM59" s="66"/>
      <c r="AN59" s="66"/>
      <c r="AO59" s="66"/>
      <c r="AP59" s="66"/>
      <c r="AQ59" s="66"/>
      <c r="AR59" s="66"/>
      <c r="AS59" s="66"/>
      <c r="AT59" s="66"/>
      <c r="AU59" s="66"/>
      <c r="AV59" s="66"/>
      <c r="AW59" s="66"/>
      <c r="AX59" s="66"/>
      <c r="AY59" s="66"/>
      <c r="AZ59" s="66"/>
      <c r="BA59" s="66"/>
      <c r="BB59" s="66"/>
      <c r="BC59" s="66"/>
      <c r="BD59" s="22" t="e">
        <f t="shared" si="3"/>
        <v>#DIV/0!</v>
      </c>
      <c r="BE59" s="66">
        <f t="shared" si="41"/>
        <v>0</v>
      </c>
      <c r="BF59" s="66">
        <f t="shared" si="42"/>
        <v>0</v>
      </c>
      <c r="BG59" s="66">
        <f t="shared" si="42"/>
        <v>0</v>
      </c>
      <c r="BH59" s="66">
        <f t="shared" si="42"/>
        <v>0</v>
      </c>
      <c r="BI59" s="66">
        <f t="shared" si="43"/>
        <v>0</v>
      </c>
      <c r="BJ59" s="66">
        <f t="shared" si="55"/>
        <v>0</v>
      </c>
      <c r="BK59" s="66">
        <f t="shared" si="55"/>
        <v>0</v>
      </c>
      <c r="BL59" s="66">
        <f t="shared" si="55"/>
        <v>0</v>
      </c>
      <c r="BM59" s="66">
        <f t="shared" si="55"/>
        <v>0</v>
      </c>
      <c r="BN59" s="66">
        <f t="shared" si="55"/>
        <v>0</v>
      </c>
      <c r="BO59" s="66">
        <f t="shared" si="55"/>
        <v>0</v>
      </c>
      <c r="BP59" s="66">
        <f t="shared" si="55"/>
        <v>0</v>
      </c>
      <c r="BQ59" s="66">
        <f t="shared" si="55"/>
        <v>0</v>
      </c>
      <c r="BR59" s="66">
        <f t="shared" si="55"/>
        <v>0</v>
      </c>
      <c r="BS59" s="66">
        <f t="shared" si="55"/>
        <v>0</v>
      </c>
      <c r="BT59" s="66">
        <f t="shared" si="55"/>
        <v>0</v>
      </c>
      <c r="BU59" s="66">
        <f t="shared" si="55"/>
        <v>0</v>
      </c>
      <c r="BV59" s="66">
        <f t="shared" si="55"/>
        <v>0</v>
      </c>
      <c r="BW59" s="66">
        <f t="shared" si="55"/>
        <v>0</v>
      </c>
      <c r="BX59" s="66">
        <f t="shared" si="55"/>
        <v>0</v>
      </c>
      <c r="BY59" s="66">
        <f t="shared" si="53"/>
        <v>0</v>
      </c>
      <c r="BZ59" s="66">
        <f t="shared" si="45"/>
        <v>0</v>
      </c>
      <c r="CA59" s="66"/>
      <c r="CB59" s="66">
        <f t="shared" si="46"/>
        <v>0</v>
      </c>
      <c r="CC59" s="22" t="e">
        <f t="shared" si="8"/>
        <v>#DIV/0!</v>
      </c>
      <c r="CD59" s="66">
        <f t="shared" si="47"/>
        <v>0</v>
      </c>
      <c r="CE59" s="66"/>
      <c r="CF59" s="66"/>
      <c r="CG59" s="66"/>
      <c r="CH59" s="66"/>
      <c r="CI59" s="66"/>
      <c r="CJ59" s="66"/>
      <c r="CK59" s="66"/>
      <c r="CL59" s="66"/>
      <c r="CM59" s="66"/>
      <c r="CN59" s="66"/>
      <c r="CO59" s="66"/>
      <c r="CP59" s="66"/>
      <c r="CQ59" s="66"/>
      <c r="CR59" s="66"/>
      <c r="CS59" s="66"/>
      <c r="CT59" s="66"/>
      <c r="CU59" s="66"/>
      <c r="CV59" s="66"/>
      <c r="CW59" s="66"/>
      <c r="CX59" s="66"/>
      <c r="CY59" s="66"/>
      <c r="CZ59" s="66"/>
      <c r="DA59" s="66"/>
      <c r="DB59" s="22" t="e">
        <f t="shared" si="10"/>
        <v>#DIV/0!</v>
      </c>
      <c r="DC59" s="66">
        <f t="shared" si="48"/>
        <v>0</v>
      </c>
      <c r="DD59" s="66">
        <f t="shared" si="56"/>
        <v>0</v>
      </c>
      <c r="DE59" s="66">
        <f t="shared" si="56"/>
        <v>0</v>
      </c>
      <c r="DF59" s="66">
        <f t="shared" si="56"/>
        <v>0</v>
      </c>
      <c r="DG59" s="66">
        <f t="shared" si="56"/>
        <v>0</v>
      </c>
      <c r="DH59" s="66">
        <f t="shared" si="56"/>
        <v>0</v>
      </c>
      <c r="DI59" s="66">
        <f t="shared" si="56"/>
        <v>0</v>
      </c>
      <c r="DJ59" s="66">
        <f t="shared" si="56"/>
        <v>0</v>
      </c>
      <c r="DK59" s="66">
        <f t="shared" si="56"/>
        <v>0</v>
      </c>
      <c r="DL59" s="66">
        <f t="shared" si="56"/>
        <v>0</v>
      </c>
      <c r="DM59" s="66">
        <f t="shared" si="56"/>
        <v>0</v>
      </c>
      <c r="DN59" s="66">
        <f t="shared" si="56"/>
        <v>0</v>
      </c>
      <c r="DO59" s="66">
        <f t="shared" si="56"/>
        <v>0</v>
      </c>
      <c r="DP59" s="66">
        <f t="shared" si="56"/>
        <v>0</v>
      </c>
      <c r="DQ59" s="66">
        <f t="shared" si="56"/>
        <v>0</v>
      </c>
      <c r="DR59" s="66">
        <f t="shared" si="56"/>
        <v>0</v>
      </c>
      <c r="DS59" s="66">
        <f t="shared" si="54"/>
        <v>0</v>
      </c>
      <c r="DT59" s="66">
        <f t="shared" si="50"/>
        <v>0</v>
      </c>
      <c r="DU59" s="66">
        <f t="shared" si="50"/>
        <v>0</v>
      </c>
      <c r="DV59" s="66">
        <f t="shared" si="50"/>
        <v>0</v>
      </c>
      <c r="DW59" s="66">
        <f t="shared" si="50"/>
        <v>0</v>
      </c>
      <c r="DX59" s="66">
        <f t="shared" si="50"/>
        <v>0</v>
      </c>
      <c r="DY59" s="66"/>
      <c r="DZ59" s="66">
        <f t="shared" si="51"/>
        <v>0</v>
      </c>
      <c r="EC59" s="170">
        <v>0</v>
      </c>
      <c r="ED59" s="169">
        <v>0</v>
      </c>
      <c r="EE59" s="171" t="e">
        <f t="shared" si="52"/>
        <v>#DIV/0!</v>
      </c>
    </row>
    <row r="60" spans="1:135" ht="28.8" hidden="1" customHeight="1" x14ac:dyDescent="0.3">
      <c r="A60" s="207" t="s">
        <v>236</v>
      </c>
      <c r="B60" s="219" t="s">
        <v>235</v>
      </c>
      <c r="C60" s="70" t="s">
        <v>234</v>
      </c>
      <c r="D60" s="69" t="s">
        <v>233</v>
      </c>
      <c r="E60" s="108">
        <v>410</v>
      </c>
      <c r="F60" s="127" t="s">
        <v>127</v>
      </c>
      <c r="G60" s="66">
        <f t="shared" si="39"/>
        <v>95000000</v>
      </c>
      <c r="H60" s="66"/>
      <c r="I60" s="66"/>
      <c r="J60" s="66"/>
      <c r="K60" s="66"/>
      <c r="L60" s="66"/>
      <c r="M60" s="66"/>
      <c r="N60" s="66"/>
      <c r="O60" s="66">
        <f>45000000+25000000</f>
        <v>70000000</v>
      </c>
      <c r="P60" s="66"/>
      <c r="Q60" s="66"/>
      <c r="R60" s="66">
        <v>10000000</v>
      </c>
      <c r="S60" s="66"/>
      <c r="T60" s="66">
        <v>5000000</v>
      </c>
      <c r="U60" s="66">
        <v>10000000</v>
      </c>
      <c r="V60" s="66"/>
      <c r="W60" s="66"/>
      <c r="X60" s="66"/>
      <c r="Y60" s="66"/>
      <c r="Z60" s="66"/>
      <c r="AA60" s="66"/>
      <c r="AB60" s="66"/>
      <c r="AC60" s="66"/>
      <c r="AD60" s="66"/>
      <c r="AE60" s="126">
        <f t="shared" si="29"/>
        <v>0.10346736842105263</v>
      </c>
      <c r="AF60" s="66">
        <f t="shared" si="40"/>
        <v>9829400</v>
      </c>
      <c r="AG60" s="66"/>
      <c r="AH60" s="66"/>
      <c r="AI60" s="66"/>
      <c r="AJ60" s="66"/>
      <c r="AK60" s="66"/>
      <c r="AL60" s="66"/>
      <c r="AM60" s="66"/>
      <c r="AN60" s="66">
        <f>+'[1]OCTUBRE 2019'!$Q$2242</f>
        <v>9829400</v>
      </c>
      <c r="AO60" s="66"/>
      <c r="AP60" s="66"/>
      <c r="AQ60" s="66"/>
      <c r="AR60" s="66"/>
      <c r="AS60" s="66"/>
      <c r="AT60" s="66"/>
      <c r="AU60" s="66"/>
      <c r="AV60" s="66"/>
      <c r="AW60" s="66"/>
      <c r="AX60" s="66"/>
      <c r="AY60" s="66"/>
      <c r="AZ60" s="66"/>
      <c r="BA60" s="66"/>
      <c r="BB60" s="66"/>
      <c r="BC60" s="66"/>
      <c r="BD60" s="22">
        <f t="shared" si="3"/>
        <v>0.89653263157894736</v>
      </c>
      <c r="BE60" s="66">
        <f t="shared" si="41"/>
        <v>85170600</v>
      </c>
      <c r="BF60" s="66">
        <f t="shared" si="42"/>
        <v>0</v>
      </c>
      <c r="BG60" s="66">
        <f t="shared" si="42"/>
        <v>0</v>
      </c>
      <c r="BH60" s="66">
        <f t="shared" si="42"/>
        <v>0</v>
      </c>
      <c r="BI60" s="66">
        <f t="shared" si="43"/>
        <v>0</v>
      </c>
      <c r="BJ60" s="66">
        <f t="shared" si="55"/>
        <v>0</v>
      </c>
      <c r="BK60" s="66">
        <f t="shared" si="55"/>
        <v>0</v>
      </c>
      <c r="BL60" s="66">
        <f t="shared" si="55"/>
        <v>0</v>
      </c>
      <c r="BM60" s="66">
        <f t="shared" si="55"/>
        <v>60170600</v>
      </c>
      <c r="BN60" s="66">
        <f t="shared" si="55"/>
        <v>0</v>
      </c>
      <c r="BO60" s="66">
        <f t="shared" si="55"/>
        <v>0</v>
      </c>
      <c r="BP60" s="66">
        <f t="shared" si="55"/>
        <v>10000000</v>
      </c>
      <c r="BQ60" s="66">
        <f t="shared" si="55"/>
        <v>0</v>
      </c>
      <c r="BR60" s="66">
        <f t="shared" si="55"/>
        <v>5000000</v>
      </c>
      <c r="BS60" s="66">
        <f t="shared" si="55"/>
        <v>10000000</v>
      </c>
      <c r="BT60" s="66">
        <f t="shared" si="55"/>
        <v>0</v>
      </c>
      <c r="BU60" s="66">
        <f t="shared" si="55"/>
        <v>0</v>
      </c>
      <c r="BV60" s="66">
        <f t="shared" si="55"/>
        <v>0</v>
      </c>
      <c r="BW60" s="66">
        <f t="shared" si="55"/>
        <v>0</v>
      </c>
      <c r="BX60" s="66">
        <f t="shared" si="55"/>
        <v>0</v>
      </c>
      <c r="BY60" s="66">
        <f t="shared" si="53"/>
        <v>0</v>
      </c>
      <c r="BZ60" s="66">
        <f t="shared" si="45"/>
        <v>0</v>
      </c>
      <c r="CA60" s="66"/>
      <c r="CB60" s="66">
        <f t="shared" si="46"/>
        <v>0</v>
      </c>
      <c r="CC60" s="22">
        <f t="shared" si="8"/>
        <v>7.1888421052631574E-2</v>
      </c>
      <c r="CD60" s="66">
        <f t="shared" si="47"/>
        <v>6829400</v>
      </c>
      <c r="CE60" s="66"/>
      <c r="CF60" s="66"/>
      <c r="CG60" s="66"/>
      <c r="CH60" s="66"/>
      <c r="CI60" s="66"/>
      <c r="CJ60" s="66"/>
      <c r="CK60" s="66"/>
      <c r="CL60" s="66">
        <f>+'[1]OCTUBRE 2019'!$H$2240</f>
        <v>6829400</v>
      </c>
      <c r="CM60" s="66"/>
      <c r="CN60" s="66"/>
      <c r="CO60" s="66"/>
      <c r="CP60" s="66"/>
      <c r="CQ60" s="66"/>
      <c r="CR60" s="66"/>
      <c r="CS60" s="66"/>
      <c r="CT60" s="66"/>
      <c r="CU60" s="66"/>
      <c r="CV60" s="66"/>
      <c r="CW60" s="66"/>
      <c r="CX60" s="66"/>
      <c r="CY60" s="66"/>
      <c r="CZ60" s="66"/>
      <c r="DA60" s="66"/>
      <c r="DB60" s="22">
        <f t="shared" si="10"/>
        <v>0.9281115789473684</v>
      </c>
      <c r="DC60" s="66">
        <f t="shared" si="48"/>
        <v>88170600</v>
      </c>
      <c r="DD60" s="66">
        <f t="shared" si="56"/>
        <v>0</v>
      </c>
      <c r="DE60" s="66">
        <f t="shared" si="56"/>
        <v>0</v>
      </c>
      <c r="DF60" s="66">
        <f t="shared" si="56"/>
        <v>0</v>
      </c>
      <c r="DG60" s="66">
        <f t="shared" si="56"/>
        <v>0</v>
      </c>
      <c r="DH60" s="66">
        <f t="shared" si="56"/>
        <v>0</v>
      </c>
      <c r="DI60" s="66">
        <f t="shared" si="56"/>
        <v>0</v>
      </c>
      <c r="DJ60" s="66">
        <f t="shared" si="56"/>
        <v>0</v>
      </c>
      <c r="DK60" s="66">
        <f t="shared" si="56"/>
        <v>63170600</v>
      </c>
      <c r="DL60" s="66">
        <f t="shared" si="56"/>
        <v>0</v>
      </c>
      <c r="DM60" s="66">
        <f t="shared" si="56"/>
        <v>0</v>
      </c>
      <c r="DN60" s="66">
        <f t="shared" si="56"/>
        <v>10000000</v>
      </c>
      <c r="DO60" s="66">
        <f t="shared" si="56"/>
        <v>0</v>
      </c>
      <c r="DP60" s="66">
        <f t="shared" si="56"/>
        <v>5000000</v>
      </c>
      <c r="DQ60" s="66">
        <f t="shared" si="56"/>
        <v>10000000</v>
      </c>
      <c r="DR60" s="66">
        <f t="shared" si="56"/>
        <v>0</v>
      </c>
      <c r="DS60" s="66">
        <f t="shared" si="54"/>
        <v>0</v>
      </c>
      <c r="DT60" s="66">
        <f t="shared" si="50"/>
        <v>0</v>
      </c>
      <c r="DU60" s="66">
        <f t="shared" si="50"/>
        <v>0</v>
      </c>
      <c r="DV60" s="66">
        <f t="shared" si="50"/>
        <v>0</v>
      </c>
      <c r="DW60" s="66">
        <f t="shared" si="50"/>
        <v>0</v>
      </c>
      <c r="DX60" s="66">
        <f t="shared" si="50"/>
        <v>0</v>
      </c>
      <c r="DY60" s="66"/>
      <c r="DZ60" s="66">
        <f t="shared" si="51"/>
        <v>0</v>
      </c>
      <c r="EC60" s="170">
        <v>95000000</v>
      </c>
      <c r="ED60" s="169">
        <v>6829400</v>
      </c>
      <c r="EE60" s="171">
        <f t="shared" si="52"/>
        <v>7.1888421052631574E-2</v>
      </c>
    </row>
    <row r="61" spans="1:135" ht="28.8" hidden="1" customHeight="1" x14ac:dyDescent="0.3">
      <c r="A61" s="207"/>
      <c r="B61" s="234"/>
      <c r="C61" s="121" t="s">
        <v>232</v>
      </c>
      <c r="D61" s="69" t="s">
        <v>231</v>
      </c>
      <c r="E61" s="124">
        <v>410</v>
      </c>
      <c r="F61" s="67" t="s">
        <v>230</v>
      </c>
      <c r="G61" s="66">
        <f t="shared" si="39"/>
        <v>261502304</v>
      </c>
      <c r="H61" s="66"/>
      <c r="I61" s="66"/>
      <c r="J61" s="66"/>
      <c r="K61" s="66"/>
      <c r="L61" s="66"/>
      <c r="M61" s="66"/>
      <c r="N61" s="66"/>
      <c r="O61" s="66">
        <v>150000000</v>
      </c>
      <c r="P61" s="66"/>
      <c r="Q61" s="66"/>
      <c r="R61" s="66">
        <v>30000000</v>
      </c>
      <c r="S61" s="66"/>
      <c r="T61" s="66">
        <v>20000000</v>
      </c>
      <c r="U61" s="66">
        <f>30000000+10000000</f>
        <v>40000000</v>
      </c>
      <c r="V61" s="66"/>
      <c r="W61" s="66"/>
      <c r="X61" s="66"/>
      <c r="Y61" s="66"/>
      <c r="Z61" s="66"/>
      <c r="AA61" s="66"/>
      <c r="AB61" s="66"/>
      <c r="AC61" s="66"/>
      <c r="AD61" s="66">
        <f>21502304</f>
        <v>21502304</v>
      </c>
      <c r="AE61" s="22">
        <f t="shared" si="29"/>
        <v>0.37785790981023248</v>
      </c>
      <c r="AF61" s="66">
        <f t="shared" si="40"/>
        <v>98810714</v>
      </c>
      <c r="AG61" s="66"/>
      <c r="AH61" s="66"/>
      <c r="AI61" s="66"/>
      <c r="AJ61" s="66"/>
      <c r="AK61" s="66"/>
      <c r="AL61" s="66"/>
      <c r="AM61" s="66"/>
      <c r="AN61" s="66">
        <f>+'[1]OCTUBRE 2019'!$Q$2256</f>
        <v>74563730</v>
      </c>
      <c r="AO61" s="66"/>
      <c r="AP61" s="66"/>
      <c r="AQ61" s="66">
        <f>+'[1]OCTUBRE 2019'!$T$2256</f>
        <v>5005939</v>
      </c>
      <c r="AR61" s="66"/>
      <c r="AS61" s="66"/>
      <c r="AT61" s="66">
        <f>+'[2]SEPTIEMBRE 2019'!$W$2011</f>
        <v>7911500</v>
      </c>
      <c r="AU61" s="66"/>
      <c r="AV61" s="66"/>
      <c r="AW61" s="66"/>
      <c r="AX61" s="66"/>
      <c r="AY61" s="66"/>
      <c r="AZ61" s="66"/>
      <c r="BA61" s="66"/>
      <c r="BB61" s="66"/>
      <c r="BC61" s="66">
        <f>+'[1]OCTUBRE 2019'!$AG$2256</f>
        <v>11329545</v>
      </c>
      <c r="BD61" s="22">
        <f t="shared" si="3"/>
        <v>0.62214209018976752</v>
      </c>
      <c r="BE61" s="66">
        <f t="shared" si="41"/>
        <v>162691590</v>
      </c>
      <c r="BF61" s="66">
        <f t="shared" si="42"/>
        <v>0</v>
      </c>
      <c r="BG61" s="66">
        <f t="shared" si="42"/>
        <v>0</v>
      </c>
      <c r="BH61" s="66">
        <f t="shared" si="42"/>
        <v>0</v>
      </c>
      <c r="BI61" s="66">
        <f t="shared" si="43"/>
        <v>0</v>
      </c>
      <c r="BJ61" s="66">
        <f t="shared" si="55"/>
        <v>0</v>
      </c>
      <c r="BK61" s="66">
        <f t="shared" si="55"/>
        <v>0</v>
      </c>
      <c r="BL61" s="66">
        <f t="shared" si="55"/>
        <v>0</v>
      </c>
      <c r="BM61" s="66">
        <f t="shared" si="55"/>
        <v>75436270</v>
      </c>
      <c r="BN61" s="66">
        <f t="shared" si="55"/>
        <v>0</v>
      </c>
      <c r="BO61" s="66">
        <f t="shared" si="55"/>
        <v>0</v>
      </c>
      <c r="BP61" s="66">
        <f t="shared" si="55"/>
        <v>24994061</v>
      </c>
      <c r="BQ61" s="66">
        <f t="shared" si="55"/>
        <v>0</v>
      </c>
      <c r="BR61" s="66">
        <f t="shared" si="55"/>
        <v>20000000</v>
      </c>
      <c r="BS61" s="66">
        <f t="shared" si="55"/>
        <v>32088500</v>
      </c>
      <c r="BT61" s="66">
        <f t="shared" si="55"/>
        <v>0</v>
      </c>
      <c r="BU61" s="66">
        <f t="shared" si="55"/>
        <v>0</v>
      </c>
      <c r="BV61" s="66">
        <f t="shared" si="55"/>
        <v>0</v>
      </c>
      <c r="BW61" s="66">
        <f t="shared" si="55"/>
        <v>0</v>
      </c>
      <c r="BX61" s="66">
        <f t="shared" si="55"/>
        <v>0</v>
      </c>
      <c r="BY61" s="66">
        <f t="shared" si="53"/>
        <v>0</v>
      </c>
      <c r="BZ61" s="66">
        <f t="shared" si="45"/>
        <v>0</v>
      </c>
      <c r="CA61" s="66"/>
      <c r="CB61" s="66">
        <f t="shared" si="46"/>
        <v>10172759</v>
      </c>
      <c r="CC61" s="22">
        <f t="shared" si="8"/>
        <v>0.33439659101435681</v>
      </c>
      <c r="CD61" s="66">
        <f t="shared" si="47"/>
        <v>87445479</v>
      </c>
      <c r="CE61" s="66"/>
      <c r="CF61" s="66"/>
      <c r="CG61" s="66"/>
      <c r="CH61" s="66"/>
      <c r="CI61" s="66"/>
      <c r="CJ61" s="66"/>
      <c r="CK61" s="66"/>
      <c r="CL61" s="66">
        <f>+'[1]OCTUBRE 2019'!$H$2254-CO61-CR61-DA61</f>
        <v>63563728</v>
      </c>
      <c r="CM61" s="66"/>
      <c r="CN61" s="66"/>
      <c r="CO61" s="66">
        <f>+'[1]OCTUBRE 2019'!$H$2261+'[1]OCTUBRE 2019'!$H$2267+'[1]OCTUBRE 2019'!$H$2291+'[1]OCTUBRE 2019'!$H$2297+'[1]OCTUBRE 2019'!$H$2310+'[1]OCTUBRE 2019'!$H$2325</f>
        <v>4865259</v>
      </c>
      <c r="CP61" s="66"/>
      <c r="CQ61" s="66"/>
      <c r="CR61" s="66">
        <f>+'[1]OCTUBRE 2019'!$H$2266+'[1]OCTUBRE 2019'!$H$2269+'[1]OCTUBRE 2019'!$H$2273+'[1]OCTUBRE 2019'!$H$2276+'[1]OCTUBRE 2019'!$H$2278+'[1]OCTUBRE 2019'!$H$2307</f>
        <v>7686947</v>
      </c>
      <c r="CS61" s="66"/>
      <c r="CT61" s="66"/>
      <c r="CU61" s="66"/>
      <c r="CV61" s="66"/>
      <c r="CW61" s="66"/>
      <c r="CX61" s="66"/>
      <c r="CY61" s="66"/>
      <c r="CZ61" s="66"/>
      <c r="DA61" s="66">
        <f>+'[1]OCTUBRE 2019'!$H$2300+'[1]OCTUBRE 2019'!$H$2314+'[1]OCTUBRE 2019'!$H$2315+'[1]OCTUBRE 2019'!$H$2323+'[1]OCTUBRE 2019'!$H$2324</f>
        <v>11329545</v>
      </c>
      <c r="DB61" s="22">
        <f t="shared" si="10"/>
        <v>0.66560340898564319</v>
      </c>
      <c r="DC61" s="66">
        <f t="shared" si="48"/>
        <v>174056825</v>
      </c>
      <c r="DD61" s="66">
        <f t="shared" si="56"/>
        <v>0</v>
      </c>
      <c r="DE61" s="66">
        <f t="shared" si="56"/>
        <v>0</v>
      </c>
      <c r="DF61" s="66">
        <f t="shared" si="56"/>
        <v>0</v>
      </c>
      <c r="DG61" s="66">
        <f t="shared" si="56"/>
        <v>0</v>
      </c>
      <c r="DH61" s="66">
        <f t="shared" si="56"/>
        <v>0</v>
      </c>
      <c r="DI61" s="66">
        <f t="shared" si="56"/>
        <v>0</v>
      </c>
      <c r="DJ61" s="66">
        <f t="shared" si="56"/>
        <v>0</v>
      </c>
      <c r="DK61" s="66">
        <f t="shared" si="56"/>
        <v>86436272</v>
      </c>
      <c r="DL61" s="66">
        <f t="shared" si="56"/>
        <v>0</v>
      </c>
      <c r="DM61" s="66">
        <f t="shared" si="56"/>
        <v>0</v>
      </c>
      <c r="DN61" s="66">
        <f t="shared" si="56"/>
        <v>25134741</v>
      </c>
      <c r="DO61" s="66">
        <f t="shared" si="56"/>
        <v>0</v>
      </c>
      <c r="DP61" s="66">
        <f t="shared" si="56"/>
        <v>20000000</v>
      </c>
      <c r="DQ61" s="66">
        <f t="shared" si="56"/>
        <v>32313053</v>
      </c>
      <c r="DR61" s="66">
        <f t="shared" si="56"/>
        <v>0</v>
      </c>
      <c r="DS61" s="66">
        <f t="shared" si="54"/>
        <v>0</v>
      </c>
      <c r="DT61" s="66">
        <f t="shared" si="50"/>
        <v>0</v>
      </c>
      <c r="DU61" s="66">
        <f t="shared" si="50"/>
        <v>0</v>
      </c>
      <c r="DV61" s="66">
        <f t="shared" si="50"/>
        <v>0</v>
      </c>
      <c r="DW61" s="66">
        <f t="shared" si="50"/>
        <v>0</v>
      </c>
      <c r="DX61" s="66">
        <f t="shared" si="50"/>
        <v>0</v>
      </c>
      <c r="DY61" s="66"/>
      <c r="DZ61" s="66">
        <f t="shared" si="51"/>
        <v>10172759</v>
      </c>
      <c r="EC61" s="170">
        <v>261502304</v>
      </c>
      <c r="ED61" s="169">
        <v>87445479</v>
      </c>
      <c r="EE61" s="171">
        <f t="shared" si="52"/>
        <v>0.33439659101435681</v>
      </c>
    </row>
    <row r="62" spans="1:135" ht="29.4" hidden="1" customHeight="1" x14ac:dyDescent="0.3">
      <c r="A62" s="207"/>
      <c r="B62" s="234"/>
      <c r="C62" s="121" t="s">
        <v>229</v>
      </c>
      <c r="D62" s="69" t="s">
        <v>228</v>
      </c>
      <c r="E62" s="124">
        <v>410</v>
      </c>
      <c r="F62" s="67" t="s">
        <v>227</v>
      </c>
      <c r="G62" s="66">
        <f t="shared" si="39"/>
        <v>150000000</v>
      </c>
      <c r="H62" s="66"/>
      <c r="I62" s="66"/>
      <c r="J62" s="66"/>
      <c r="K62" s="66"/>
      <c r="L62" s="66"/>
      <c r="M62" s="66"/>
      <c r="N62" s="66"/>
      <c r="O62" s="66">
        <v>50000000</v>
      </c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>
        <v>100000000</v>
      </c>
      <c r="AA62" s="66"/>
      <c r="AB62" s="66"/>
      <c r="AC62" s="66"/>
      <c r="AD62" s="66">
        <f>15000000-15000000</f>
        <v>0</v>
      </c>
      <c r="AE62" s="22">
        <f t="shared" si="29"/>
        <v>1</v>
      </c>
      <c r="AF62" s="66">
        <f t="shared" si="40"/>
        <v>150000000</v>
      </c>
      <c r="AG62" s="66"/>
      <c r="AH62" s="66"/>
      <c r="AI62" s="66"/>
      <c r="AJ62" s="66"/>
      <c r="AK62" s="66"/>
      <c r="AL62" s="66"/>
      <c r="AM62" s="66"/>
      <c r="AN62" s="66">
        <f>+'[6]MAYO 2019'!$P$1080</f>
        <v>50000000</v>
      </c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>
        <f>+'[6]MAYO 2019'!$AA$1080</f>
        <v>100000000</v>
      </c>
      <c r="AZ62" s="66"/>
      <c r="BA62" s="66"/>
      <c r="BB62" s="66"/>
      <c r="BC62" s="66"/>
      <c r="BD62" s="22">
        <f t="shared" si="3"/>
        <v>0</v>
      </c>
      <c r="BE62" s="66">
        <f t="shared" si="41"/>
        <v>0</v>
      </c>
      <c r="BF62" s="66">
        <f t="shared" si="42"/>
        <v>0</v>
      </c>
      <c r="BG62" s="66">
        <f t="shared" si="42"/>
        <v>0</v>
      </c>
      <c r="BH62" s="66">
        <f t="shared" si="42"/>
        <v>0</v>
      </c>
      <c r="BI62" s="66">
        <f t="shared" si="43"/>
        <v>0</v>
      </c>
      <c r="BJ62" s="66">
        <f t="shared" si="55"/>
        <v>0</v>
      </c>
      <c r="BK62" s="66">
        <f t="shared" si="55"/>
        <v>0</v>
      </c>
      <c r="BL62" s="66">
        <f t="shared" si="55"/>
        <v>0</v>
      </c>
      <c r="BM62" s="66">
        <f t="shared" si="55"/>
        <v>0</v>
      </c>
      <c r="BN62" s="66">
        <f t="shared" si="55"/>
        <v>0</v>
      </c>
      <c r="BO62" s="66">
        <f t="shared" si="55"/>
        <v>0</v>
      </c>
      <c r="BP62" s="66">
        <f t="shared" si="55"/>
        <v>0</v>
      </c>
      <c r="BQ62" s="66">
        <f t="shared" si="55"/>
        <v>0</v>
      </c>
      <c r="BR62" s="66">
        <f t="shared" si="55"/>
        <v>0</v>
      </c>
      <c r="BS62" s="66">
        <f t="shared" si="55"/>
        <v>0</v>
      </c>
      <c r="BT62" s="66">
        <f t="shared" si="55"/>
        <v>0</v>
      </c>
      <c r="BU62" s="66">
        <f t="shared" si="55"/>
        <v>0</v>
      </c>
      <c r="BV62" s="66">
        <f t="shared" si="55"/>
        <v>0</v>
      </c>
      <c r="BW62" s="66">
        <f t="shared" si="55"/>
        <v>0</v>
      </c>
      <c r="BX62" s="66">
        <f t="shared" si="55"/>
        <v>0</v>
      </c>
      <c r="BY62" s="66">
        <f t="shared" si="53"/>
        <v>0</v>
      </c>
      <c r="BZ62" s="66">
        <f t="shared" si="45"/>
        <v>0</v>
      </c>
      <c r="CA62" s="66"/>
      <c r="CB62" s="66">
        <f t="shared" si="46"/>
        <v>0</v>
      </c>
      <c r="CC62" s="22">
        <f t="shared" si="8"/>
        <v>0.67388324666666666</v>
      </c>
      <c r="CD62" s="66">
        <f t="shared" si="47"/>
        <v>101082487</v>
      </c>
      <c r="CE62" s="66"/>
      <c r="CF62" s="66"/>
      <c r="CG62" s="66"/>
      <c r="CH62" s="66"/>
      <c r="CI62" s="66"/>
      <c r="CJ62" s="66"/>
      <c r="CK62" s="66"/>
      <c r="CL62" s="66">
        <f>+'[11]JULIO 2019'!$H$1557</f>
        <v>31999995</v>
      </c>
      <c r="CM62" s="66"/>
      <c r="CN62" s="66"/>
      <c r="CO62" s="66"/>
      <c r="CP62" s="66"/>
      <c r="CQ62" s="66"/>
      <c r="CR62" s="66"/>
      <c r="CS62" s="66"/>
      <c r="CT62" s="66"/>
      <c r="CU62" s="66"/>
      <c r="CV62" s="66"/>
      <c r="CW62" s="66">
        <f>+'[11]JULIO 2019'!$H$1543+'[11]JULIO 2019'!$H$1545</f>
        <v>69082492</v>
      </c>
      <c r="CX62" s="66"/>
      <c r="CY62" s="66"/>
      <c r="CZ62" s="66"/>
      <c r="DA62" s="66"/>
      <c r="DB62" s="22">
        <f t="shared" si="10"/>
        <v>0.32611675333333334</v>
      </c>
      <c r="DC62" s="66">
        <f t="shared" si="48"/>
        <v>48917513</v>
      </c>
      <c r="DD62" s="66">
        <f t="shared" si="56"/>
        <v>0</v>
      </c>
      <c r="DE62" s="66">
        <f t="shared" si="56"/>
        <v>0</v>
      </c>
      <c r="DF62" s="66">
        <f t="shared" si="56"/>
        <v>0</v>
      </c>
      <c r="DG62" s="66">
        <f t="shared" si="56"/>
        <v>0</v>
      </c>
      <c r="DH62" s="66">
        <f t="shared" si="56"/>
        <v>0</v>
      </c>
      <c r="DI62" s="66">
        <f t="shared" si="56"/>
        <v>0</v>
      </c>
      <c r="DJ62" s="66">
        <f t="shared" si="56"/>
        <v>0</v>
      </c>
      <c r="DK62" s="66">
        <f t="shared" si="56"/>
        <v>18000005</v>
      </c>
      <c r="DL62" s="66">
        <f t="shared" si="56"/>
        <v>0</v>
      </c>
      <c r="DM62" s="66">
        <f t="shared" si="56"/>
        <v>0</v>
      </c>
      <c r="DN62" s="66">
        <f t="shared" si="56"/>
        <v>0</v>
      </c>
      <c r="DO62" s="66">
        <f t="shared" si="56"/>
        <v>0</v>
      </c>
      <c r="DP62" s="66">
        <f t="shared" si="56"/>
        <v>0</v>
      </c>
      <c r="DQ62" s="66">
        <f t="shared" si="56"/>
        <v>0</v>
      </c>
      <c r="DR62" s="66">
        <f t="shared" si="56"/>
        <v>0</v>
      </c>
      <c r="DS62" s="66">
        <f t="shared" si="54"/>
        <v>0</v>
      </c>
      <c r="DT62" s="66">
        <f t="shared" si="50"/>
        <v>0</v>
      </c>
      <c r="DU62" s="66">
        <f t="shared" si="50"/>
        <v>0</v>
      </c>
      <c r="DV62" s="66">
        <f t="shared" si="50"/>
        <v>30917508</v>
      </c>
      <c r="DW62" s="66">
        <f t="shared" si="50"/>
        <v>0</v>
      </c>
      <c r="DX62" s="66">
        <f t="shared" si="50"/>
        <v>0</v>
      </c>
      <c r="DY62" s="66"/>
      <c r="DZ62" s="66">
        <f t="shared" si="51"/>
        <v>0</v>
      </c>
      <c r="EC62" s="170">
        <v>150000000</v>
      </c>
      <c r="ED62" s="169">
        <v>101082487</v>
      </c>
      <c r="EE62" s="171">
        <f t="shared" si="52"/>
        <v>0.67388324666666666</v>
      </c>
    </row>
    <row r="63" spans="1:135" ht="26.4" hidden="1" customHeight="1" x14ac:dyDescent="0.3">
      <c r="A63" s="207"/>
      <c r="B63" s="220"/>
      <c r="C63" s="121" t="s">
        <v>226</v>
      </c>
      <c r="D63" s="69" t="s">
        <v>225</v>
      </c>
      <c r="E63" s="124">
        <v>410</v>
      </c>
      <c r="F63" s="67" t="s">
        <v>127</v>
      </c>
      <c r="G63" s="66">
        <f t="shared" si="39"/>
        <v>80000000</v>
      </c>
      <c r="H63" s="66"/>
      <c r="I63" s="66"/>
      <c r="J63" s="66"/>
      <c r="K63" s="66"/>
      <c r="L63" s="66"/>
      <c r="M63" s="66"/>
      <c r="N63" s="66"/>
      <c r="O63" s="66">
        <v>80000000</v>
      </c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22">
        <f t="shared" si="29"/>
        <v>0.77730809999999995</v>
      </c>
      <c r="AF63" s="66">
        <f t="shared" si="40"/>
        <v>62184648</v>
      </c>
      <c r="AG63" s="66"/>
      <c r="AH63" s="66"/>
      <c r="AI63" s="66"/>
      <c r="AJ63" s="66"/>
      <c r="AK63" s="66"/>
      <c r="AL63" s="66"/>
      <c r="AM63" s="66"/>
      <c r="AN63" s="66">
        <f>+'[2]SEPTIEMBRE 2019'!$Q$2093</f>
        <v>62184648</v>
      </c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22">
        <f t="shared" si="3"/>
        <v>0.22269190000000005</v>
      </c>
      <c r="BE63" s="66">
        <f t="shared" si="41"/>
        <v>17815352</v>
      </c>
      <c r="BF63" s="66">
        <f t="shared" si="42"/>
        <v>0</v>
      </c>
      <c r="BG63" s="66">
        <f t="shared" si="42"/>
        <v>0</v>
      </c>
      <c r="BH63" s="66">
        <f t="shared" si="42"/>
        <v>0</v>
      </c>
      <c r="BI63" s="66">
        <f t="shared" si="43"/>
        <v>0</v>
      </c>
      <c r="BJ63" s="66">
        <f t="shared" si="55"/>
        <v>0</v>
      </c>
      <c r="BK63" s="66">
        <f t="shared" si="55"/>
        <v>0</v>
      </c>
      <c r="BL63" s="66">
        <f t="shared" si="55"/>
        <v>0</v>
      </c>
      <c r="BM63" s="66">
        <f t="shared" si="55"/>
        <v>17815352</v>
      </c>
      <c r="BN63" s="66">
        <f t="shared" si="55"/>
        <v>0</v>
      </c>
      <c r="BO63" s="66">
        <f t="shared" si="55"/>
        <v>0</v>
      </c>
      <c r="BP63" s="66">
        <f t="shared" si="55"/>
        <v>0</v>
      </c>
      <c r="BQ63" s="66">
        <f t="shared" si="55"/>
        <v>0</v>
      </c>
      <c r="BR63" s="66">
        <f t="shared" si="55"/>
        <v>0</v>
      </c>
      <c r="BS63" s="66">
        <f t="shared" si="55"/>
        <v>0</v>
      </c>
      <c r="BT63" s="66">
        <f t="shared" si="55"/>
        <v>0</v>
      </c>
      <c r="BU63" s="66">
        <f t="shared" si="55"/>
        <v>0</v>
      </c>
      <c r="BV63" s="66">
        <f t="shared" si="55"/>
        <v>0</v>
      </c>
      <c r="BW63" s="66">
        <f t="shared" si="55"/>
        <v>0</v>
      </c>
      <c r="BX63" s="66">
        <f t="shared" si="55"/>
        <v>0</v>
      </c>
      <c r="BY63" s="66">
        <f t="shared" si="53"/>
        <v>0</v>
      </c>
      <c r="BZ63" s="66">
        <f t="shared" si="45"/>
        <v>0</v>
      </c>
      <c r="CA63" s="66"/>
      <c r="CB63" s="66">
        <f t="shared" si="46"/>
        <v>0</v>
      </c>
      <c r="CC63" s="22">
        <f t="shared" si="8"/>
        <v>0.5846618375</v>
      </c>
      <c r="CD63" s="66">
        <f t="shared" si="47"/>
        <v>46772947</v>
      </c>
      <c r="CE63" s="66"/>
      <c r="CF63" s="66"/>
      <c r="CG63" s="66"/>
      <c r="CH63" s="66"/>
      <c r="CI63" s="66"/>
      <c r="CJ63" s="66"/>
      <c r="CK63" s="66"/>
      <c r="CL63" s="66">
        <f>+'[1]OCTUBRE 2019'!$H$2357</f>
        <v>46772947</v>
      </c>
      <c r="CM63" s="66"/>
      <c r="CN63" s="66"/>
      <c r="CO63" s="66"/>
      <c r="CP63" s="66"/>
      <c r="CQ63" s="66"/>
      <c r="CR63" s="66"/>
      <c r="CS63" s="66"/>
      <c r="CT63" s="66"/>
      <c r="CU63" s="66"/>
      <c r="CV63" s="66"/>
      <c r="CW63" s="66"/>
      <c r="CX63" s="66"/>
      <c r="CY63" s="66"/>
      <c r="CZ63" s="66"/>
      <c r="DA63" s="66"/>
      <c r="DB63" s="22">
        <f t="shared" si="10"/>
        <v>0.4153381625</v>
      </c>
      <c r="DC63" s="66">
        <f t="shared" si="48"/>
        <v>33227053</v>
      </c>
      <c r="DD63" s="66">
        <f t="shared" si="56"/>
        <v>0</v>
      </c>
      <c r="DE63" s="66">
        <f t="shared" si="56"/>
        <v>0</v>
      </c>
      <c r="DF63" s="66">
        <f t="shared" si="56"/>
        <v>0</v>
      </c>
      <c r="DG63" s="66">
        <f t="shared" si="56"/>
        <v>0</v>
      </c>
      <c r="DH63" s="66">
        <f t="shared" si="56"/>
        <v>0</v>
      </c>
      <c r="DI63" s="66">
        <f t="shared" si="56"/>
        <v>0</v>
      </c>
      <c r="DJ63" s="66">
        <f t="shared" si="56"/>
        <v>0</v>
      </c>
      <c r="DK63" s="66">
        <f t="shared" si="56"/>
        <v>33227053</v>
      </c>
      <c r="DL63" s="66">
        <f t="shared" si="56"/>
        <v>0</v>
      </c>
      <c r="DM63" s="66">
        <f t="shared" si="56"/>
        <v>0</v>
      </c>
      <c r="DN63" s="66">
        <f t="shared" si="56"/>
        <v>0</v>
      </c>
      <c r="DO63" s="66">
        <f t="shared" si="56"/>
        <v>0</v>
      </c>
      <c r="DP63" s="66">
        <f t="shared" si="56"/>
        <v>0</v>
      </c>
      <c r="DQ63" s="66">
        <f t="shared" si="56"/>
        <v>0</v>
      </c>
      <c r="DR63" s="66">
        <f t="shared" si="56"/>
        <v>0</v>
      </c>
      <c r="DS63" s="66">
        <f t="shared" si="54"/>
        <v>0</v>
      </c>
      <c r="DT63" s="66">
        <f t="shared" si="50"/>
        <v>0</v>
      </c>
      <c r="DU63" s="66">
        <f t="shared" si="50"/>
        <v>0</v>
      </c>
      <c r="DV63" s="66">
        <f t="shared" si="50"/>
        <v>0</v>
      </c>
      <c r="DW63" s="66">
        <f t="shared" si="50"/>
        <v>0</v>
      </c>
      <c r="DX63" s="66">
        <f t="shared" si="50"/>
        <v>0</v>
      </c>
      <c r="DY63" s="66"/>
      <c r="DZ63" s="66">
        <f t="shared" si="51"/>
        <v>0</v>
      </c>
      <c r="EC63" s="170">
        <v>80000000</v>
      </c>
      <c r="ED63" s="169">
        <v>46772947</v>
      </c>
      <c r="EE63" s="171">
        <f t="shared" si="52"/>
        <v>0.5846618375</v>
      </c>
    </row>
    <row r="64" spans="1:135" ht="25.8" hidden="1" customHeight="1" x14ac:dyDescent="0.3">
      <c r="A64" s="207"/>
      <c r="B64" s="219" t="s">
        <v>224</v>
      </c>
      <c r="C64" s="121" t="s">
        <v>223</v>
      </c>
      <c r="D64" s="69" t="s">
        <v>222</v>
      </c>
      <c r="E64" s="124">
        <v>410</v>
      </c>
      <c r="F64" s="67" t="s">
        <v>127</v>
      </c>
      <c r="G64" s="66">
        <f t="shared" si="39"/>
        <v>869968071</v>
      </c>
      <c r="H64" s="66"/>
      <c r="I64" s="66"/>
      <c r="J64" s="66"/>
      <c r="K64" s="66"/>
      <c r="L64" s="66"/>
      <c r="M64" s="66"/>
      <c r="N64" s="66"/>
      <c r="O64" s="66"/>
      <c r="P64" s="66">
        <f>45960534-45960534</f>
        <v>0</v>
      </c>
      <c r="Q64" s="66">
        <f>45960534-45960534</f>
        <v>0</v>
      </c>
      <c r="R64" s="66">
        <f>45960534-45960534</f>
        <v>0</v>
      </c>
      <c r="S64" s="66">
        <f>480000000+221840643</f>
        <v>701840643</v>
      </c>
      <c r="T64" s="66"/>
      <c r="U64" s="66"/>
      <c r="V64" s="66"/>
      <c r="W64" s="66"/>
      <c r="X64" s="66"/>
      <c r="Y64" s="66">
        <v>52565530</v>
      </c>
      <c r="Z64" s="66">
        <v>105561898</v>
      </c>
      <c r="AA64" s="66"/>
      <c r="AB64" s="66"/>
      <c r="AC64" s="66"/>
      <c r="AD64" s="66">
        <f>10000000</f>
        <v>10000000</v>
      </c>
      <c r="AE64" s="22">
        <f t="shared" si="29"/>
        <v>0.85919314388263335</v>
      </c>
      <c r="AF64" s="66">
        <f t="shared" si="40"/>
        <v>747470602</v>
      </c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>
        <f>+'[1]OCTUBRE 2019'!$U$2382</f>
        <v>643772375</v>
      </c>
      <c r="AS64" s="66"/>
      <c r="AT64" s="66"/>
      <c r="AU64" s="66"/>
      <c r="AV64" s="66"/>
      <c r="AW64" s="66"/>
      <c r="AX64" s="66"/>
      <c r="AY64" s="66">
        <f>+'[6]MAYO 2019'!$AA$1107</f>
        <v>103698227</v>
      </c>
      <c r="AZ64" s="66"/>
      <c r="BA64" s="66"/>
      <c r="BB64" s="66"/>
      <c r="BC64" s="66"/>
      <c r="BD64" s="22">
        <f t="shared" si="3"/>
        <v>0.14080685611736665</v>
      </c>
      <c r="BE64" s="66">
        <f t="shared" si="41"/>
        <v>122497469</v>
      </c>
      <c r="BF64" s="66">
        <f t="shared" si="42"/>
        <v>0</v>
      </c>
      <c r="BG64" s="66">
        <f t="shared" si="42"/>
        <v>0</v>
      </c>
      <c r="BH64" s="66">
        <f t="shared" si="42"/>
        <v>0</v>
      </c>
      <c r="BI64" s="66">
        <f t="shared" si="43"/>
        <v>0</v>
      </c>
      <c r="BJ64" s="66">
        <f t="shared" si="55"/>
        <v>0</v>
      </c>
      <c r="BK64" s="66">
        <f t="shared" si="55"/>
        <v>0</v>
      </c>
      <c r="BL64" s="66">
        <f t="shared" si="55"/>
        <v>0</v>
      </c>
      <c r="BM64" s="66">
        <f t="shared" si="55"/>
        <v>0</v>
      </c>
      <c r="BN64" s="66">
        <f t="shared" si="55"/>
        <v>0</v>
      </c>
      <c r="BO64" s="66">
        <f t="shared" si="55"/>
        <v>0</v>
      </c>
      <c r="BP64" s="66">
        <f t="shared" si="55"/>
        <v>0</v>
      </c>
      <c r="BQ64" s="66">
        <f t="shared" si="55"/>
        <v>58068268</v>
      </c>
      <c r="BR64" s="66">
        <f t="shared" si="55"/>
        <v>0</v>
      </c>
      <c r="BS64" s="66">
        <f t="shared" si="55"/>
        <v>0</v>
      </c>
      <c r="BT64" s="66">
        <f t="shared" si="55"/>
        <v>0</v>
      </c>
      <c r="BU64" s="66">
        <f t="shared" si="55"/>
        <v>0</v>
      </c>
      <c r="BV64" s="66">
        <f t="shared" si="55"/>
        <v>0</v>
      </c>
      <c r="BW64" s="66">
        <f t="shared" si="55"/>
        <v>52565530</v>
      </c>
      <c r="BX64" s="66">
        <f t="shared" si="55"/>
        <v>1863671</v>
      </c>
      <c r="BY64" s="66">
        <f t="shared" si="53"/>
        <v>0</v>
      </c>
      <c r="BZ64" s="66">
        <f t="shared" si="45"/>
        <v>0</v>
      </c>
      <c r="CA64" s="66"/>
      <c r="CB64" s="66">
        <f t="shared" si="46"/>
        <v>10000000</v>
      </c>
      <c r="CC64" s="22">
        <f t="shared" si="8"/>
        <v>0.67887686650513868</v>
      </c>
      <c r="CD64" s="66">
        <f t="shared" si="47"/>
        <v>590601198</v>
      </c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>
        <f>+'[1]OCTUBRE 2019'!$H$2380-CW64</f>
        <v>488626644</v>
      </c>
      <c r="CQ64" s="66"/>
      <c r="CR64" s="66"/>
      <c r="CS64" s="66"/>
      <c r="CT64" s="66"/>
      <c r="CU64" s="66"/>
      <c r="CV64" s="66"/>
      <c r="CW64" s="66">
        <f>+'[1]OCTUBRE 2019'!$H$2383+'[1]OCTUBRE 2019'!$H$2385+'[1]OCTUBRE 2019'!$H$2387+'[1]OCTUBRE 2019'!$H$2390+'[1]OCTUBRE 2019'!$H$2392+'[1]OCTUBRE 2019'!$H$2394+'[1]OCTUBRE 2019'!$H$2396+'[1]OCTUBRE 2019'!$H$2399+'[1]OCTUBRE 2019'!$H$2401+'[1]OCTUBRE 2019'!$H$2404+'[1]OCTUBRE 2019'!$H$2405+'[1]OCTUBRE 2019'!$H$2406+'[1]OCTUBRE 2019'!$H$2408+'[1]OCTUBRE 2019'!$H$2412+'[1]OCTUBRE 2019'!$H$2413+'[1]OCTUBRE 2019'!$H$2414+'[1]OCTUBRE 2019'!$H$2415+'[1]OCTUBRE 2019'!$H$2416+'[1]OCTUBRE 2019'!$H$2417+'[1]OCTUBRE 2019'!$H$2418+'[1]OCTUBRE 2019'!$H$2420</f>
        <v>101974554</v>
      </c>
      <c r="CX64" s="66"/>
      <c r="CY64" s="66"/>
      <c r="CZ64" s="66"/>
      <c r="DA64" s="66"/>
      <c r="DB64" s="22">
        <f t="shared" si="10"/>
        <v>0.32112313349486132</v>
      </c>
      <c r="DC64" s="66">
        <f t="shared" si="48"/>
        <v>279366873</v>
      </c>
      <c r="DD64" s="66">
        <f t="shared" si="56"/>
        <v>0</v>
      </c>
      <c r="DE64" s="66">
        <f t="shared" si="56"/>
        <v>0</v>
      </c>
      <c r="DF64" s="66">
        <f t="shared" si="56"/>
        <v>0</v>
      </c>
      <c r="DG64" s="66">
        <f t="shared" si="56"/>
        <v>0</v>
      </c>
      <c r="DH64" s="66">
        <f t="shared" si="56"/>
        <v>0</v>
      </c>
      <c r="DI64" s="66">
        <f t="shared" si="56"/>
        <v>0</v>
      </c>
      <c r="DJ64" s="66">
        <f t="shared" si="56"/>
        <v>0</v>
      </c>
      <c r="DK64" s="66">
        <f t="shared" si="56"/>
        <v>0</v>
      </c>
      <c r="DL64" s="66">
        <f t="shared" si="56"/>
        <v>0</v>
      </c>
      <c r="DM64" s="66">
        <f t="shared" si="56"/>
        <v>0</v>
      </c>
      <c r="DN64" s="66">
        <f t="shared" si="56"/>
        <v>0</v>
      </c>
      <c r="DO64" s="66">
        <f t="shared" si="56"/>
        <v>213213999</v>
      </c>
      <c r="DP64" s="66">
        <f t="shared" si="56"/>
        <v>0</v>
      </c>
      <c r="DQ64" s="66">
        <f t="shared" si="56"/>
        <v>0</v>
      </c>
      <c r="DR64" s="66">
        <f t="shared" si="56"/>
        <v>0</v>
      </c>
      <c r="DS64" s="66">
        <f t="shared" si="54"/>
        <v>0</v>
      </c>
      <c r="DT64" s="66">
        <f t="shared" si="50"/>
        <v>0</v>
      </c>
      <c r="DU64" s="66">
        <f t="shared" si="50"/>
        <v>52565530</v>
      </c>
      <c r="DV64" s="66">
        <f t="shared" si="50"/>
        <v>3587344</v>
      </c>
      <c r="DW64" s="66">
        <f t="shared" si="50"/>
        <v>0</v>
      </c>
      <c r="DX64" s="66">
        <f t="shared" si="50"/>
        <v>0</v>
      </c>
      <c r="DY64" s="66"/>
      <c r="DZ64" s="66">
        <f t="shared" si="51"/>
        <v>10000000</v>
      </c>
      <c r="EC64" s="170">
        <v>869968071</v>
      </c>
      <c r="ED64" s="169">
        <v>590601198</v>
      </c>
      <c r="EE64" s="171">
        <f t="shared" si="52"/>
        <v>0.67887686650513868</v>
      </c>
    </row>
    <row r="65" spans="1:135" ht="17.399999999999999" hidden="1" customHeight="1" x14ac:dyDescent="0.3">
      <c r="A65" s="207"/>
      <c r="B65" s="234"/>
      <c r="C65" s="121" t="s">
        <v>221</v>
      </c>
      <c r="D65" s="69" t="s">
        <v>220</v>
      </c>
      <c r="E65" s="124">
        <v>410</v>
      </c>
      <c r="F65" s="67" t="s">
        <v>127</v>
      </c>
      <c r="G65" s="66">
        <f t="shared" si="39"/>
        <v>10000000</v>
      </c>
      <c r="H65" s="66"/>
      <c r="I65" s="66"/>
      <c r="J65" s="66"/>
      <c r="K65" s="66"/>
      <c r="L65" s="66"/>
      <c r="M65" s="66"/>
      <c r="N65" s="66"/>
      <c r="O65" s="66">
        <v>10000000</v>
      </c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22">
        <f t="shared" si="29"/>
        <v>0.77810000000000001</v>
      </c>
      <c r="AF65" s="66">
        <f t="shared" si="40"/>
        <v>7781000</v>
      </c>
      <c r="AG65" s="66"/>
      <c r="AH65" s="66"/>
      <c r="AI65" s="66"/>
      <c r="AJ65" s="66"/>
      <c r="AK65" s="66"/>
      <c r="AL65" s="66"/>
      <c r="AM65" s="66"/>
      <c r="AN65" s="66">
        <f>+'[1]OCTUBRE 2019'!$Q$2682</f>
        <v>7781000</v>
      </c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22">
        <f t="shared" si="3"/>
        <v>0.22189999999999999</v>
      </c>
      <c r="BE65" s="66">
        <f t="shared" si="41"/>
        <v>2219000</v>
      </c>
      <c r="BF65" s="66">
        <f t="shared" si="42"/>
        <v>0</v>
      </c>
      <c r="BG65" s="66">
        <f t="shared" si="42"/>
        <v>0</v>
      </c>
      <c r="BH65" s="66">
        <f t="shared" si="42"/>
        <v>0</v>
      </c>
      <c r="BI65" s="66">
        <f t="shared" si="43"/>
        <v>0</v>
      </c>
      <c r="BJ65" s="66">
        <f t="shared" si="55"/>
        <v>0</v>
      </c>
      <c r="BK65" s="66">
        <f t="shared" si="55"/>
        <v>0</v>
      </c>
      <c r="BL65" s="66">
        <f t="shared" si="55"/>
        <v>0</v>
      </c>
      <c r="BM65" s="66">
        <f t="shared" si="55"/>
        <v>2219000</v>
      </c>
      <c r="BN65" s="66">
        <f t="shared" si="55"/>
        <v>0</v>
      </c>
      <c r="BO65" s="66">
        <f t="shared" si="55"/>
        <v>0</v>
      </c>
      <c r="BP65" s="66">
        <f t="shared" si="55"/>
        <v>0</v>
      </c>
      <c r="BQ65" s="66">
        <f t="shared" si="55"/>
        <v>0</v>
      </c>
      <c r="BR65" s="66">
        <f t="shared" si="55"/>
        <v>0</v>
      </c>
      <c r="BS65" s="66">
        <f t="shared" si="55"/>
        <v>0</v>
      </c>
      <c r="BT65" s="66">
        <f t="shared" si="55"/>
        <v>0</v>
      </c>
      <c r="BU65" s="66">
        <f t="shared" si="55"/>
        <v>0</v>
      </c>
      <c r="BV65" s="66">
        <f t="shared" si="55"/>
        <v>0</v>
      </c>
      <c r="BW65" s="66">
        <f t="shared" si="55"/>
        <v>0</v>
      </c>
      <c r="BX65" s="66">
        <f t="shared" si="55"/>
        <v>0</v>
      </c>
      <c r="BY65" s="66">
        <f t="shared" si="53"/>
        <v>0</v>
      </c>
      <c r="BZ65" s="66">
        <f t="shared" si="45"/>
        <v>0</v>
      </c>
      <c r="CA65" s="66"/>
      <c r="CB65" s="66">
        <f t="shared" si="46"/>
        <v>0</v>
      </c>
      <c r="CC65" s="22">
        <f t="shared" si="8"/>
        <v>0.54790000000000005</v>
      </c>
      <c r="CD65" s="66">
        <f t="shared" si="47"/>
        <v>5479000</v>
      </c>
      <c r="CE65" s="66"/>
      <c r="CF65" s="66"/>
      <c r="CG65" s="66"/>
      <c r="CH65" s="66"/>
      <c r="CI65" s="66"/>
      <c r="CJ65" s="66"/>
      <c r="CK65" s="66"/>
      <c r="CL65" s="66">
        <f>+'[1]OCTUBRE 2019'!$H$2680</f>
        <v>5479000</v>
      </c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22">
        <f t="shared" si="10"/>
        <v>0.45209999999999995</v>
      </c>
      <c r="DC65" s="66">
        <f t="shared" si="48"/>
        <v>4521000</v>
      </c>
      <c r="DD65" s="66">
        <f t="shared" si="56"/>
        <v>0</v>
      </c>
      <c r="DE65" s="66">
        <f t="shared" si="56"/>
        <v>0</v>
      </c>
      <c r="DF65" s="66">
        <f t="shared" si="56"/>
        <v>0</v>
      </c>
      <c r="DG65" s="66">
        <f t="shared" si="56"/>
        <v>0</v>
      </c>
      <c r="DH65" s="66">
        <f t="shared" si="56"/>
        <v>0</v>
      </c>
      <c r="DI65" s="66">
        <f t="shared" si="56"/>
        <v>0</v>
      </c>
      <c r="DJ65" s="66">
        <f t="shared" si="56"/>
        <v>0</v>
      </c>
      <c r="DK65" s="66">
        <f t="shared" si="56"/>
        <v>4521000</v>
      </c>
      <c r="DL65" s="66">
        <f t="shared" si="56"/>
        <v>0</v>
      </c>
      <c r="DM65" s="66">
        <f t="shared" si="56"/>
        <v>0</v>
      </c>
      <c r="DN65" s="66">
        <f t="shared" si="56"/>
        <v>0</v>
      </c>
      <c r="DO65" s="66">
        <f t="shared" si="56"/>
        <v>0</v>
      </c>
      <c r="DP65" s="66">
        <f t="shared" si="56"/>
        <v>0</v>
      </c>
      <c r="DQ65" s="66">
        <f t="shared" si="56"/>
        <v>0</v>
      </c>
      <c r="DR65" s="66">
        <f t="shared" si="56"/>
        <v>0</v>
      </c>
      <c r="DS65" s="66">
        <f t="shared" si="54"/>
        <v>0</v>
      </c>
      <c r="DT65" s="66">
        <f t="shared" si="50"/>
        <v>0</v>
      </c>
      <c r="DU65" s="66">
        <f t="shared" si="50"/>
        <v>0</v>
      </c>
      <c r="DV65" s="66">
        <f t="shared" si="50"/>
        <v>0</v>
      </c>
      <c r="DW65" s="66">
        <f t="shared" si="50"/>
        <v>0</v>
      </c>
      <c r="DX65" s="66">
        <f t="shared" si="50"/>
        <v>0</v>
      </c>
      <c r="DY65" s="66"/>
      <c r="DZ65" s="66">
        <f t="shared" si="51"/>
        <v>0</v>
      </c>
      <c r="EC65" s="170">
        <v>10000000</v>
      </c>
      <c r="ED65" s="169">
        <v>5479000</v>
      </c>
      <c r="EE65" s="171">
        <f t="shared" si="52"/>
        <v>0.54790000000000005</v>
      </c>
    </row>
    <row r="66" spans="1:135" ht="16.2" hidden="1" customHeight="1" x14ac:dyDescent="0.3">
      <c r="A66" s="207"/>
      <c r="B66" s="234"/>
      <c r="C66" s="121" t="s">
        <v>219</v>
      </c>
      <c r="D66" s="69" t="s">
        <v>218</v>
      </c>
      <c r="E66" s="124">
        <v>410</v>
      </c>
      <c r="F66" s="67" t="s">
        <v>127</v>
      </c>
      <c r="G66" s="66">
        <f t="shared" si="39"/>
        <v>10000000</v>
      </c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>
        <v>10000000</v>
      </c>
      <c r="AA66" s="66"/>
      <c r="AB66" s="66"/>
      <c r="AC66" s="66"/>
      <c r="AD66" s="66"/>
      <c r="AE66" s="22">
        <f t="shared" si="29"/>
        <v>0</v>
      </c>
      <c r="AF66" s="66">
        <f t="shared" si="40"/>
        <v>0</v>
      </c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22">
        <f t="shared" si="3"/>
        <v>1</v>
      </c>
      <c r="BE66" s="66">
        <f t="shared" si="41"/>
        <v>10000000</v>
      </c>
      <c r="BF66" s="66">
        <f t="shared" si="42"/>
        <v>0</v>
      </c>
      <c r="BG66" s="66">
        <f t="shared" si="42"/>
        <v>0</v>
      </c>
      <c r="BH66" s="66">
        <f t="shared" si="42"/>
        <v>0</v>
      </c>
      <c r="BI66" s="66">
        <f t="shared" si="43"/>
        <v>0</v>
      </c>
      <c r="BJ66" s="66">
        <f t="shared" si="55"/>
        <v>0</v>
      </c>
      <c r="BK66" s="66">
        <f t="shared" si="55"/>
        <v>0</v>
      </c>
      <c r="BL66" s="66">
        <f t="shared" si="55"/>
        <v>0</v>
      </c>
      <c r="BM66" s="66">
        <f t="shared" si="55"/>
        <v>0</v>
      </c>
      <c r="BN66" s="66">
        <f t="shared" si="55"/>
        <v>0</v>
      </c>
      <c r="BO66" s="66">
        <f t="shared" si="55"/>
        <v>0</v>
      </c>
      <c r="BP66" s="66">
        <f t="shared" si="55"/>
        <v>0</v>
      </c>
      <c r="BQ66" s="66">
        <f t="shared" si="55"/>
        <v>0</v>
      </c>
      <c r="BR66" s="66">
        <f t="shared" si="55"/>
        <v>0</v>
      </c>
      <c r="BS66" s="66">
        <f t="shared" si="55"/>
        <v>0</v>
      </c>
      <c r="BT66" s="66">
        <f t="shared" si="55"/>
        <v>0</v>
      </c>
      <c r="BU66" s="66">
        <f t="shared" si="55"/>
        <v>0</v>
      </c>
      <c r="BV66" s="66">
        <f t="shared" si="55"/>
        <v>0</v>
      </c>
      <c r="BW66" s="66">
        <f t="shared" si="55"/>
        <v>0</v>
      </c>
      <c r="BX66" s="66">
        <f t="shared" si="55"/>
        <v>10000000</v>
      </c>
      <c r="BY66" s="66">
        <f t="shared" si="53"/>
        <v>0</v>
      </c>
      <c r="BZ66" s="66">
        <f t="shared" si="45"/>
        <v>0</v>
      </c>
      <c r="CA66" s="66"/>
      <c r="CB66" s="66">
        <f t="shared" si="46"/>
        <v>0</v>
      </c>
      <c r="CC66" s="22">
        <f t="shared" si="8"/>
        <v>0</v>
      </c>
      <c r="CD66" s="66">
        <f t="shared" si="47"/>
        <v>0</v>
      </c>
      <c r="CE66" s="66"/>
      <c r="CF66" s="66"/>
      <c r="CG66" s="66"/>
      <c r="CH66" s="66"/>
      <c r="CI66" s="66"/>
      <c r="CJ66" s="66"/>
      <c r="CK66" s="66"/>
      <c r="CL66" s="66"/>
      <c r="CM66" s="66"/>
      <c r="CN66" s="66"/>
      <c r="CO66" s="66"/>
      <c r="CP66" s="66"/>
      <c r="CQ66" s="66"/>
      <c r="CR66" s="66"/>
      <c r="CS66" s="66"/>
      <c r="CT66" s="66"/>
      <c r="CU66" s="66"/>
      <c r="CV66" s="66"/>
      <c r="CW66" s="66"/>
      <c r="CX66" s="66"/>
      <c r="CY66" s="66"/>
      <c r="CZ66" s="66"/>
      <c r="DA66" s="66"/>
      <c r="DB66" s="22">
        <f t="shared" si="10"/>
        <v>1</v>
      </c>
      <c r="DC66" s="66">
        <f t="shared" si="48"/>
        <v>10000000</v>
      </c>
      <c r="DD66" s="66">
        <f t="shared" si="56"/>
        <v>0</v>
      </c>
      <c r="DE66" s="66">
        <f t="shared" si="56"/>
        <v>0</v>
      </c>
      <c r="DF66" s="66">
        <f t="shared" si="56"/>
        <v>0</v>
      </c>
      <c r="DG66" s="66">
        <f t="shared" si="56"/>
        <v>0</v>
      </c>
      <c r="DH66" s="66">
        <f t="shared" si="56"/>
        <v>0</v>
      </c>
      <c r="DI66" s="66">
        <f t="shared" si="56"/>
        <v>0</v>
      </c>
      <c r="DJ66" s="66">
        <f t="shared" si="56"/>
        <v>0</v>
      </c>
      <c r="DK66" s="66">
        <f t="shared" si="56"/>
        <v>0</v>
      </c>
      <c r="DL66" s="66">
        <f t="shared" si="56"/>
        <v>0</v>
      </c>
      <c r="DM66" s="66">
        <f t="shared" si="56"/>
        <v>0</v>
      </c>
      <c r="DN66" s="66">
        <f t="shared" si="56"/>
        <v>0</v>
      </c>
      <c r="DO66" s="66">
        <f t="shared" si="56"/>
        <v>0</v>
      </c>
      <c r="DP66" s="66">
        <f t="shared" si="56"/>
        <v>0</v>
      </c>
      <c r="DQ66" s="66">
        <f t="shared" si="56"/>
        <v>0</v>
      </c>
      <c r="DR66" s="66">
        <f t="shared" si="56"/>
        <v>0</v>
      </c>
      <c r="DS66" s="66">
        <f t="shared" si="54"/>
        <v>0</v>
      </c>
      <c r="DT66" s="66">
        <f t="shared" si="50"/>
        <v>0</v>
      </c>
      <c r="DU66" s="66">
        <f t="shared" si="50"/>
        <v>0</v>
      </c>
      <c r="DV66" s="66">
        <f t="shared" si="50"/>
        <v>10000000</v>
      </c>
      <c r="DW66" s="66">
        <f t="shared" si="50"/>
        <v>0</v>
      </c>
      <c r="DX66" s="66">
        <f t="shared" si="50"/>
        <v>0</v>
      </c>
      <c r="DY66" s="66"/>
      <c r="DZ66" s="66">
        <f t="shared" si="51"/>
        <v>0</v>
      </c>
      <c r="EC66" s="170">
        <v>10000000</v>
      </c>
      <c r="ED66" s="169">
        <v>0</v>
      </c>
      <c r="EE66" s="171">
        <f t="shared" si="52"/>
        <v>0</v>
      </c>
    </row>
    <row r="67" spans="1:135" ht="29.4" hidden="1" customHeight="1" x14ac:dyDescent="0.3">
      <c r="A67" s="207"/>
      <c r="B67" s="234"/>
      <c r="C67" s="121" t="s">
        <v>217</v>
      </c>
      <c r="D67" s="69" t="s">
        <v>216</v>
      </c>
      <c r="E67" s="124">
        <v>410</v>
      </c>
      <c r="F67" s="67" t="s">
        <v>127</v>
      </c>
      <c r="G67" s="66">
        <f t="shared" si="39"/>
        <v>237881602</v>
      </c>
      <c r="H67" s="66"/>
      <c r="I67" s="66"/>
      <c r="J67" s="66"/>
      <c r="K67" s="66"/>
      <c r="L67" s="66"/>
      <c r="M67" s="66"/>
      <c r="N67" s="66"/>
      <c r="O67" s="66">
        <v>100000000</v>
      </c>
      <c r="P67" s="66">
        <f>45960534</f>
        <v>45960534</v>
      </c>
      <c r="Q67" s="66">
        <f>45960534</f>
        <v>45960534</v>
      </c>
      <c r="R67" s="66">
        <f>45960534</f>
        <v>45960534</v>
      </c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22">
        <f t="shared" si="29"/>
        <v>0.36154521104999116</v>
      </c>
      <c r="AF67" s="66">
        <f t="shared" si="40"/>
        <v>86004954</v>
      </c>
      <c r="AG67" s="66"/>
      <c r="AH67" s="66"/>
      <c r="AI67" s="66"/>
      <c r="AJ67" s="66"/>
      <c r="AK67" s="66"/>
      <c r="AL67" s="66"/>
      <c r="AM67" s="66"/>
      <c r="AN67" s="66">
        <f>+'[1]OCTUBRE 2019'!$Q$2700</f>
        <v>81562652</v>
      </c>
      <c r="AO67" s="66"/>
      <c r="AP67" s="66">
        <f>+'[1]OCTUBRE 2019'!$S$2700</f>
        <v>4442302</v>
      </c>
      <c r="AQ67" s="66"/>
      <c r="AR67" s="66"/>
      <c r="AS67" s="66"/>
      <c r="AT67" s="66"/>
      <c r="AU67" s="66"/>
      <c r="AV67" s="66"/>
      <c r="AW67" s="66"/>
      <c r="AX67" s="66"/>
      <c r="AY67" s="66"/>
      <c r="AZ67" s="66"/>
      <c r="BA67" s="66"/>
      <c r="BB67" s="66"/>
      <c r="BC67" s="66"/>
      <c r="BD67" s="22">
        <f t="shared" si="3"/>
        <v>0.63845478895000884</v>
      </c>
      <c r="BE67" s="66">
        <f t="shared" si="41"/>
        <v>151876648</v>
      </c>
      <c r="BF67" s="66">
        <f t="shared" si="42"/>
        <v>0</v>
      </c>
      <c r="BG67" s="66">
        <f t="shared" si="42"/>
        <v>0</v>
      </c>
      <c r="BH67" s="66">
        <f t="shared" si="42"/>
        <v>0</v>
      </c>
      <c r="BI67" s="66">
        <f t="shared" si="43"/>
        <v>0</v>
      </c>
      <c r="BJ67" s="66">
        <f t="shared" si="55"/>
        <v>0</v>
      </c>
      <c r="BK67" s="66">
        <f t="shared" si="55"/>
        <v>0</v>
      </c>
      <c r="BL67" s="66">
        <f t="shared" si="55"/>
        <v>0</v>
      </c>
      <c r="BM67" s="66">
        <f t="shared" si="55"/>
        <v>18437348</v>
      </c>
      <c r="BN67" s="66">
        <f t="shared" si="55"/>
        <v>45960534</v>
      </c>
      <c r="BO67" s="66">
        <f t="shared" si="55"/>
        <v>41518232</v>
      </c>
      <c r="BP67" s="66">
        <f t="shared" si="55"/>
        <v>45960534</v>
      </c>
      <c r="BQ67" s="66">
        <f t="shared" si="55"/>
        <v>0</v>
      </c>
      <c r="BR67" s="66">
        <f t="shared" si="55"/>
        <v>0</v>
      </c>
      <c r="BS67" s="66">
        <f t="shared" si="55"/>
        <v>0</v>
      </c>
      <c r="BT67" s="66">
        <f t="shared" si="55"/>
        <v>0</v>
      </c>
      <c r="BU67" s="66">
        <f t="shared" si="55"/>
        <v>0</v>
      </c>
      <c r="BV67" s="66">
        <f t="shared" si="55"/>
        <v>0</v>
      </c>
      <c r="BW67" s="66">
        <f t="shared" si="55"/>
        <v>0</v>
      </c>
      <c r="BX67" s="66">
        <f t="shared" si="55"/>
        <v>0</v>
      </c>
      <c r="BY67" s="66">
        <f t="shared" si="53"/>
        <v>0</v>
      </c>
      <c r="BZ67" s="66">
        <f t="shared" si="45"/>
        <v>0</v>
      </c>
      <c r="CA67" s="66"/>
      <c r="CB67" s="66">
        <f t="shared" si="46"/>
        <v>0</v>
      </c>
      <c r="CC67" s="22">
        <f t="shared" si="8"/>
        <v>0.31316869557654986</v>
      </c>
      <c r="CD67" s="66">
        <f t="shared" si="47"/>
        <v>74497071</v>
      </c>
      <c r="CE67" s="66"/>
      <c r="CF67" s="66"/>
      <c r="CG67" s="66"/>
      <c r="CH67" s="66"/>
      <c r="CI67" s="66"/>
      <c r="CJ67" s="66"/>
      <c r="CK67" s="66"/>
      <c r="CL67" s="66">
        <f>+'[1]OCTUBRE 2019'!$H$2698-CN67</f>
        <v>70054769</v>
      </c>
      <c r="CM67" s="66"/>
      <c r="CN67" s="66">
        <f>+'[1]OCTUBRE 2019'!$H$2761</f>
        <v>4442302</v>
      </c>
      <c r="CO67" s="66"/>
      <c r="CP67" s="66"/>
      <c r="CQ67" s="66"/>
      <c r="CR67" s="66"/>
      <c r="CS67" s="66"/>
      <c r="CT67" s="66"/>
      <c r="CU67" s="66"/>
      <c r="CV67" s="66"/>
      <c r="CW67" s="66"/>
      <c r="CX67" s="66"/>
      <c r="CY67" s="66"/>
      <c r="CZ67" s="66"/>
      <c r="DA67" s="66"/>
      <c r="DB67" s="22">
        <f t="shared" si="10"/>
        <v>0.6868313044234502</v>
      </c>
      <c r="DC67" s="66">
        <f t="shared" si="48"/>
        <v>163384531</v>
      </c>
      <c r="DD67" s="66">
        <f t="shared" si="56"/>
        <v>0</v>
      </c>
      <c r="DE67" s="66">
        <f t="shared" si="56"/>
        <v>0</v>
      </c>
      <c r="DF67" s="66">
        <f t="shared" si="56"/>
        <v>0</v>
      </c>
      <c r="DG67" s="66">
        <f t="shared" si="56"/>
        <v>0</v>
      </c>
      <c r="DH67" s="66">
        <f t="shared" si="56"/>
        <v>0</v>
      </c>
      <c r="DI67" s="66">
        <f t="shared" si="56"/>
        <v>0</v>
      </c>
      <c r="DJ67" s="66">
        <f t="shared" si="56"/>
        <v>0</v>
      </c>
      <c r="DK67" s="66">
        <f t="shared" si="56"/>
        <v>29945231</v>
      </c>
      <c r="DL67" s="66">
        <f t="shared" si="56"/>
        <v>45960534</v>
      </c>
      <c r="DM67" s="66">
        <f t="shared" si="56"/>
        <v>41518232</v>
      </c>
      <c r="DN67" s="66">
        <f t="shared" si="56"/>
        <v>45960534</v>
      </c>
      <c r="DO67" s="66">
        <f t="shared" si="56"/>
        <v>0</v>
      </c>
      <c r="DP67" s="66">
        <f t="shared" si="56"/>
        <v>0</v>
      </c>
      <c r="DQ67" s="66">
        <f t="shared" si="56"/>
        <v>0</v>
      </c>
      <c r="DR67" s="66">
        <f t="shared" si="56"/>
        <v>0</v>
      </c>
      <c r="DS67" s="66">
        <f t="shared" si="54"/>
        <v>0</v>
      </c>
      <c r="DT67" s="66">
        <f t="shared" si="50"/>
        <v>0</v>
      </c>
      <c r="DU67" s="66">
        <f t="shared" si="50"/>
        <v>0</v>
      </c>
      <c r="DV67" s="66">
        <f t="shared" si="50"/>
        <v>0</v>
      </c>
      <c r="DW67" s="66">
        <f t="shared" si="50"/>
        <v>0</v>
      </c>
      <c r="DX67" s="66">
        <f t="shared" si="50"/>
        <v>0</v>
      </c>
      <c r="DY67" s="66"/>
      <c r="DZ67" s="66">
        <f t="shared" si="51"/>
        <v>0</v>
      </c>
      <c r="EC67" s="170">
        <v>237881602</v>
      </c>
      <c r="ED67" s="169">
        <v>74497071</v>
      </c>
      <c r="EE67" s="171">
        <f t="shared" si="52"/>
        <v>0.31316869557654986</v>
      </c>
    </row>
    <row r="68" spans="1:135" ht="39.6" hidden="1" customHeight="1" x14ac:dyDescent="0.3">
      <c r="A68" s="207"/>
      <c r="B68" s="234"/>
      <c r="C68" s="70" t="s">
        <v>215</v>
      </c>
      <c r="D68" s="69" t="s">
        <v>214</v>
      </c>
      <c r="E68" s="108">
        <v>410</v>
      </c>
      <c r="F68" s="67" t="s">
        <v>127</v>
      </c>
      <c r="G68" s="66">
        <f t="shared" si="39"/>
        <v>0</v>
      </c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22" t="e">
        <f t="shared" si="29"/>
        <v>#DIV/0!</v>
      </c>
      <c r="AF68" s="66">
        <f t="shared" si="40"/>
        <v>0</v>
      </c>
      <c r="AG68" s="66"/>
      <c r="AH68" s="66"/>
      <c r="AI68" s="66"/>
      <c r="AJ68" s="66"/>
      <c r="AK68" s="66"/>
      <c r="AL68" s="66"/>
      <c r="AM68" s="66"/>
      <c r="AN68" s="66"/>
      <c r="AO68" s="66"/>
      <c r="AP68" s="66"/>
      <c r="AQ68" s="66"/>
      <c r="AR68" s="66"/>
      <c r="AS68" s="66"/>
      <c r="AT68" s="66"/>
      <c r="AU68" s="66"/>
      <c r="AV68" s="66"/>
      <c r="AW68" s="66"/>
      <c r="AX68" s="66"/>
      <c r="AY68" s="66"/>
      <c r="AZ68" s="66"/>
      <c r="BA68" s="66"/>
      <c r="BB68" s="66"/>
      <c r="BC68" s="66"/>
      <c r="BD68" s="22" t="e">
        <f t="shared" si="3"/>
        <v>#DIV/0!</v>
      </c>
      <c r="BE68" s="66">
        <f t="shared" si="41"/>
        <v>0</v>
      </c>
      <c r="BF68" s="66">
        <f t="shared" si="42"/>
        <v>0</v>
      </c>
      <c r="BG68" s="66">
        <f t="shared" si="42"/>
        <v>0</v>
      </c>
      <c r="BH68" s="66">
        <f t="shared" si="42"/>
        <v>0</v>
      </c>
      <c r="BI68" s="66">
        <f t="shared" si="43"/>
        <v>0</v>
      </c>
      <c r="BJ68" s="66">
        <f t="shared" si="55"/>
        <v>0</v>
      </c>
      <c r="BK68" s="66">
        <f t="shared" si="55"/>
        <v>0</v>
      </c>
      <c r="BL68" s="66">
        <f t="shared" si="55"/>
        <v>0</v>
      </c>
      <c r="BM68" s="66">
        <f t="shared" si="55"/>
        <v>0</v>
      </c>
      <c r="BN68" s="66">
        <f t="shared" si="55"/>
        <v>0</v>
      </c>
      <c r="BO68" s="66">
        <f t="shared" si="55"/>
        <v>0</v>
      </c>
      <c r="BP68" s="66">
        <f t="shared" si="55"/>
        <v>0</v>
      </c>
      <c r="BQ68" s="66">
        <f t="shared" si="55"/>
        <v>0</v>
      </c>
      <c r="BR68" s="66">
        <f t="shared" si="55"/>
        <v>0</v>
      </c>
      <c r="BS68" s="66">
        <f t="shared" si="55"/>
        <v>0</v>
      </c>
      <c r="BT68" s="66">
        <f t="shared" si="55"/>
        <v>0</v>
      </c>
      <c r="BU68" s="66">
        <f t="shared" si="55"/>
        <v>0</v>
      </c>
      <c r="BV68" s="66">
        <f t="shared" si="55"/>
        <v>0</v>
      </c>
      <c r="BW68" s="66">
        <f t="shared" si="55"/>
        <v>0</v>
      </c>
      <c r="BX68" s="66">
        <f t="shared" si="55"/>
        <v>0</v>
      </c>
      <c r="BY68" s="66">
        <f t="shared" si="53"/>
        <v>0</v>
      </c>
      <c r="BZ68" s="66">
        <f t="shared" si="45"/>
        <v>0</v>
      </c>
      <c r="CA68" s="66"/>
      <c r="CB68" s="66">
        <f t="shared" si="46"/>
        <v>0</v>
      </c>
      <c r="CC68" s="22" t="e">
        <f t="shared" si="8"/>
        <v>#DIV/0!</v>
      </c>
      <c r="CD68" s="66">
        <f t="shared" si="47"/>
        <v>0</v>
      </c>
      <c r="CE68" s="66"/>
      <c r="CF68" s="66"/>
      <c r="CG68" s="66"/>
      <c r="CH68" s="66"/>
      <c r="CI68" s="66"/>
      <c r="CJ68" s="66"/>
      <c r="CK68" s="66"/>
      <c r="CL68" s="66"/>
      <c r="CM68" s="66"/>
      <c r="CN68" s="66"/>
      <c r="CO68" s="66"/>
      <c r="CP68" s="66"/>
      <c r="CQ68" s="66"/>
      <c r="CR68" s="66"/>
      <c r="CS68" s="66"/>
      <c r="CT68" s="66"/>
      <c r="CU68" s="66"/>
      <c r="CV68" s="66"/>
      <c r="CW68" s="66"/>
      <c r="CX68" s="66"/>
      <c r="CY68" s="66"/>
      <c r="CZ68" s="66"/>
      <c r="DA68" s="66"/>
      <c r="DB68" s="22" t="e">
        <f t="shared" si="10"/>
        <v>#DIV/0!</v>
      </c>
      <c r="DC68" s="66">
        <f t="shared" si="48"/>
        <v>0</v>
      </c>
      <c r="DD68" s="66">
        <f t="shared" si="56"/>
        <v>0</v>
      </c>
      <c r="DE68" s="66">
        <f t="shared" si="56"/>
        <v>0</v>
      </c>
      <c r="DF68" s="66">
        <f t="shared" si="56"/>
        <v>0</v>
      </c>
      <c r="DG68" s="66">
        <f t="shared" si="56"/>
        <v>0</v>
      </c>
      <c r="DH68" s="66">
        <f t="shared" si="56"/>
        <v>0</v>
      </c>
      <c r="DI68" s="66">
        <f t="shared" si="56"/>
        <v>0</v>
      </c>
      <c r="DJ68" s="66">
        <f t="shared" si="56"/>
        <v>0</v>
      </c>
      <c r="DK68" s="66">
        <f t="shared" si="56"/>
        <v>0</v>
      </c>
      <c r="DL68" s="66">
        <f t="shared" si="56"/>
        <v>0</v>
      </c>
      <c r="DM68" s="66">
        <f t="shared" si="56"/>
        <v>0</v>
      </c>
      <c r="DN68" s="66">
        <f t="shared" si="56"/>
        <v>0</v>
      </c>
      <c r="DO68" s="66">
        <f t="shared" si="56"/>
        <v>0</v>
      </c>
      <c r="DP68" s="66">
        <f t="shared" si="56"/>
        <v>0</v>
      </c>
      <c r="DQ68" s="66">
        <f t="shared" si="56"/>
        <v>0</v>
      </c>
      <c r="DR68" s="66">
        <f t="shared" si="56"/>
        <v>0</v>
      </c>
      <c r="DS68" s="66">
        <f t="shared" si="54"/>
        <v>0</v>
      </c>
      <c r="DT68" s="66">
        <f t="shared" si="50"/>
        <v>0</v>
      </c>
      <c r="DU68" s="66">
        <f t="shared" si="50"/>
        <v>0</v>
      </c>
      <c r="DV68" s="66">
        <f t="shared" si="50"/>
        <v>0</v>
      </c>
      <c r="DW68" s="66">
        <f t="shared" si="50"/>
        <v>0</v>
      </c>
      <c r="DX68" s="66">
        <f t="shared" si="50"/>
        <v>0</v>
      </c>
      <c r="DY68" s="66"/>
      <c r="DZ68" s="66">
        <f t="shared" si="51"/>
        <v>0</v>
      </c>
      <c r="EC68" s="170">
        <v>0</v>
      </c>
      <c r="ED68" s="169">
        <v>0</v>
      </c>
      <c r="EE68" s="171" t="e">
        <f t="shared" si="52"/>
        <v>#DIV/0!</v>
      </c>
    </row>
    <row r="69" spans="1:135" ht="20.399999999999999" hidden="1" customHeight="1" x14ac:dyDescent="0.3">
      <c r="A69" s="207"/>
      <c r="B69" s="234"/>
      <c r="C69" s="121" t="s">
        <v>213</v>
      </c>
      <c r="D69" s="69" t="s">
        <v>212</v>
      </c>
      <c r="E69" s="124">
        <v>410</v>
      </c>
      <c r="F69" s="67" t="s">
        <v>127</v>
      </c>
      <c r="G69" s="66">
        <f t="shared" si="39"/>
        <v>0</v>
      </c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22" t="e">
        <f t="shared" si="29"/>
        <v>#DIV/0!</v>
      </c>
      <c r="AF69" s="66">
        <f t="shared" si="40"/>
        <v>0</v>
      </c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66"/>
      <c r="AZ69" s="66"/>
      <c r="BA69" s="66"/>
      <c r="BB69" s="66"/>
      <c r="BC69" s="66"/>
      <c r="BD69" s="22" t="e">
        <f t="shared" ref="BD69:BD132" si="57">1-AE69</f>
        <v>#DIV/0!</v>
      </c>
      <c r="BE69" s="66">
        <f t="shared" si="41"/>
        <v>0</v>
      </c>
      <c r="BF69" s="66">
        <f t="shared" si="42"/>
        <v>0</v>
      </c>
      <c r="BG69" s="66">
        <f t="shared" si="42"/>
        <v>0</v>
      </c>
      <c r="BH69" s="66">
        <f t="shared" si="42"/>
        <v>0</v>
      </c>
      <c r="BI69" s="66">
        <f t="shared" si="43"/>
        <v>0</v>
      </c>
      <c r="BJ69" s="66">
        <f t="shared" si="55"/>
        <v>0</v>
      </c>
      <c r="BK69" s="66">
        <f t="shared" si="55"/>
        <v>0</v>
      </c>
      <c r="BL69" s="66">
        <f t="shared" si="55"/>
        <v>0</v>
      </c>
      <c r="BM69" s="66">
        <f t="shared" si="55"/>
        <v>0</v>
      </c>
      <c r="BN69" s="66">
        <f t="shared" si="55"/>
        <v>0</v>
      </c>
      <c r="BO69" s="66">
        <f t="shared" si="55"/>
        <v>0</v>
      </c>
      <c r="BP69" s="66">
        <f t="shared" si="55"/>
        <v>0</v>
      </c>
      <c r="BQ69" s="66">
        <f t="shared" si="55"/>
        <v>0</v>
      </c>
      <c r="BR69" s="66">
        <f t="shared" si="55"/>
        <v>0</v>
      </c>
      <c r="BS69" s="66">
        <f t="shared" si="55"/>
        <v>0</v>
      </c>
      <c r="BT69" s="66">
        <f t="shared" si="55"/>
        <v>0</v>
      </c>
      <c r="BU69" s="66">
        <f t="shared" si="55"/>
        <v>0</v>
      </c>
      <c r="BV69" s="66">
        <f t="shared" si="55"/>
        <v>0</v>
      </c>
      <c r="BW69" s="66">
        <f t="shared" si="55"/>
        <v>0</v>
      </c>
      <c r="BX69" s="66">
        <f t="shared" si="55"/>
        <v>0</v>
      </c>
      <c r="BY69" s="66">
        <f t="shared" si="53"/>
        <v>0</v>
      </c>
      <c r="BZ69" s="66">
        <f t="shared" si="45"/>
        <v>0</v>
      </c>
      <c r="CA69" s="66"/>
      <c r="CB69" s="66">
        <f t="shared" si="46"/>
        <v>0</v>
      </c>
      <c r="CC69" s="22" t="e">
        <f t="shared" ref="CC69:CC108" si="58">+CD69/G69</f>
        <v>#DIV/0!</v>
      </c>
      <c r="CD69" s="66">
        <f t="shared" si="47"/>
        <v>0</v>
      </c>
      <c r="CE69" s="66"/>
      <c r="CF69" s="66"/>
      <c r="CG69" s="66"/>
      <c r="CH69" s="66"/>
      <c r="CI69" s="66"/>
      <c r="CJ69" s="66"/>
      <c r="CK69" s="66"/>
      <c r="CL69" s="66"/>
      <c r="CM69" s="66"/>
      <c r="CN69" s="66"/>
      <c r="CO69" s="66"/>
      <c r="CP69" s="66"/>
      <c r="CQ69" s="66"/>
      <c r="CR69" s="66"/>
      <c r="CS69" s="66"/>
      <c r="CT69" s="66"/>
      <c r="CU69" s="66"/>
      <c r="CV69" s="66"/>
      <c r="CW69" s="66"/>
      <c r="CX69" s="66"/>
      <c r="CY69" s="66"/>
      <c r="CZ69" s="66"/>
      <c r="DA69" s="66"/>
      <c r="DB69" s="22" t="e">
        <f t="shared" ref="DB69:DB132" si="59">1-CC69</f>
        <v>#DIV/0!</v>
      </c>
      <c r="DC69" s="66">
        <f t="shared" si="48"/>
        <v>0</v>
      </c>
      <c r="DD69" s="66">
        <f t="shared" si="56"/>
        <v>0</v>
      </c>
      <c r="DE69" s="66">
        <f t="shared" si="56"/>
        <v>0</v>
      </c>
      <c r="DF69" s="66">
        <f t="shared" si="56"/>
        <v>0</v>
      </c>
      <c r="DG69" s="66">
        <f t="shared" si="56"/>
        <v>0</v>
      </c>
      <c r="DH69" s="66">
        <f t="shared" si="56"/>
        <v>0</v>
      </c>
      <c r="DI69" s="66">
        <f t="shared" si="56"/>
        <v>0</v>
      </c>
      <c r="DJ69" s="66">
        <f t="shared" si="56"/>
        <v>0</v>
      </c>
      <c r="DK69" s="66">
        <f t="shared" si="56"/>
        <v>0</v>
      </c>
      <c r="DL69" s="66">
        <f t="shared" si="56"/>
        <v>0</v>
      </c>
      <c r="DM69" s="66">
        <f t="shared" si="56"/>
        <v>0</v>
      </c>
      <c r="DN69" s="66">
        <f t="shared" si="56"/>
        <v>0</v>
      </c>
      <c r="DO69" s="66">
        <f t="shared" si="56"/>
        <v>0</v>
      </c>
      <c r="DP69" s="66">
        <f t="shared" si="56"/>
        <v>0</v>
      </c>
      <c r="DQ69" s="66">
        <f t="shared" si="56"/>
        <v>0</v>
      </c>
      <c r="DR69" s="66">
        <f t="shared" si="56"/>
        <v>0</v>
      </c>
      <c r="DS69" s="66">
        <f t="shared" si="54"/>
        <v>0</v>
      </c>
      <c r="DT69" s="66">
        <f t="shared" si="50"/>
        <v>0</v>
      </c>
      <c r="DU69" s="66">
        <f t="shared" si="50"/>
        <v>0</v>
      </c>
      <c r="DV69" s="66">
        <f t="shared" si="50"/>
        <v>0</v>
      </c>
      <c r="DW69" s="66">
        <f t="shared" si="50"/>
        <v>0</v>
      </c>
      <c r="DX69" s="66">
        <f t="shared" si="50"/>
        <v>0</v>
      </c>
      <c r="DY69" s="66"/>
      <c r="DZ69" s="66">
        <f t="shared" si="51"/>
        <v>0</v>
      </c>
      <c r="EC69" s="170">
        <v>0</v>
      </c>
      <c r="ED69" s="169">
        <v>0</v>
      </c>
      <c r="EE69" s="171" t="e">
        <f t="shared" si="52"/>
        <v>#DIV/0!</v>
      </c>
    </row>
    <row r="70" spans="1:135" ht="28.2" hidden="1" customHeight="1" x14ac:dyDescent="0.3">
      <c r="A70" s="207"/>
      <c r="B70" s="234"/>
      <c r="C70" s="121" t="s">
        <v>211</v>
      </c>
      <c r="D70" s="69" t="s">
        <v>210</v>
      </c>
      <c r="E70" s="124">
        <v>410</v>
      </c>
      <c r="F70" s="67" t="s">
        <v>127</v>
      </c>
      <c r="G70" s="66">
        <f t="shared" si="39"/>
        <v>2120000</v>
      </c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>
        <v>2120000</v>
      </c>
      <c r="AA70" s="66"/>
      <c r="AB70" s="66"/>
      <c r="AC70" s="66"/>
      <c r="AD70" s="66"/>
      <c r="AE70" s="22">
        <f t="shared" si="29"/>
        <v>0.12570754716981133</v>
      </c>
      <c r="AF70" s="66">
        <f t="shared" si="40"/>
        <v>266500</v>
      </c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6"/>
      <c r="AY70" s="66">
        <f>+'[2]SEPTIEMBRE 2019'!$AB$2447</f>
        <v>266500</v>
      </c>
      <c r="AZ70" s="66"/>
      <c r="BA70" s="66"/>
      <c r="BB70" s="66"/>
      <c r="BC70" s="66"/>
      <c r="BD70" s="22">
        <f t="shared" si="57"/>
        <v>0.87429245283018864</v>
      </c>
      <c r="BE70" s="66">
        <f t="shared" si="41"/>
        <v>1853500</v>
      </c>
      <c r="BF70" s="66">
        <f t="shared" si="42"/>
        <v>0</v>
      </c>
      <c r="BG70" s="66">
        <f t="shared" si="42"/>
        <v>0</v>
      </c>
      <c r="BH70" s="66">
        <f t="shared" si="42"/>
        <v>0</v>
      </c>
      <c r="BI70" s="66">
        <f t="shared" si="43"/>
        <v>0</v>
      </c>
      <c r="BJ70" s="66">
        <f t="shared" si="55"/>
        <v>0</v>
      </c>
      <c r="BK70" s="66">
        <f t="shared" si="55"/>
        <v>0</v>
      </c>
      <c r="BL70" s="66">
        <f t="shared" si="55"/>
        <v>0</v>
      </c>
      <c r="BM70" s="66">
        <f t="shared" si="55"/>
        <v>0</v>
      </c>
      <c r="BN70" s="66">
        <f t="shared" si="55"/>
        <v>0</v>
      </c>
      <c r="BO70" s="66">
        <f t="shared" si="55"/>
        <v>0</v>
      </c>
      <c r="BP70" s="66">
        <f t="shared" si="55"/>
        <v>0</v>
      </c>
      <c r="BQ70" s="66">
        <f t="shared" si="55"/>
        <v>0</v>
      </c>
      <c r="BR70" s="66">
        <f t="shared" si="55"/>
        <v>0</v>
      </c>
      <c r="BS70" s="66">
        <f t="shared" si="55"/>
        <v>0</v>
      </c>
      <c r="BT70" s="66">
        <f t="shared" si="55"/>
        <v>0</v>
      </c>
      <c r="BU70" s="66">
        <f t="shared" si="55"/>
        <v>0</v>
      </c>
      <c r="BV70" s="66">
        <f t="shared" si="55"/>
        <v>0</v>
      </c>
      <c r="BW70" s="66">
        <f t="shared" si="55"/>
        <v>0</v>
      </c>
      <c r="BX70" s="66">
        <f t="shared" si="55"/>
        <v>1853500</v>
      </c>
      <c r="BY70" s="66">
        <f t="shared" si="53"/>
        <v>0</v>
      </c>
      <c r="BZ70" s="66">
        <f t="shared" si="45"/>
        <v>0</v>
      </c>
      <c r="CA70" s="66"/>
      <c r="CB70" s="66">
        <f t="shared" si="46"/>
        <v>0</v>
      </c>
      <c r="CC70" s="22">
        <f t="shared" si="58"/>
        <v>0.12570754716981133</v>
      </c>
      <c r="CD70" s="66">
        <f t="shared" si="47"/>
        <v>266500</v>
      </c>
      <c r="CE70" s="66"/>
      <c r="CF70" s="66"/>
      <c r="CG70" s="66"/>
      <c r="CH70" s="66"/>
      <c r="CI70" s="66"/>
      <c r="CJ70" s="66"/>
      <c r="CK70" s="66"/>
      <c r="CL70" s="66"/>
      <c r="CM70" s="66"/>
      <c r="CN70" s="66"/>
      <c r="CO70" s="66"/>
      <c r="CP70" s="66"/>
      <c r="CQ70" s="66"/>
      <c r="CR70" s="66"/>
      <c r="CS70" s="66"/>
      <c r="CT70" s="66"/>
      <c r="CU70" s="66"/>
      <c r="CV70" s="66"/>
      <c r="CW70" s="66">
        <f>+'[2]SEPTIEMBRE 2019'!$H$2445</f>
        <v>266500</v>
      </c>
      <c r="CX70" s="66"/>
      <c r="CY70" s="66"/>
      <c r="CZ70" s="66"/>
      <c r="DA70" s="66"/>
      <c r="DB70" s="22">
        <f t="shared" si="59"/>
        <v>0.87429245283018864</v>
      </c>
      <c r="DC70" s="66">
        <f t="shared" si="48"/>
        <v>1853500</v>
      </c>
      <c r="DD70" s="66">
        <f t="shared" si="56"/>
        <v>0</v>
      </c>
      <c r="DE70" s="66">
        <f t="shared" si="56"/>
        <v>0</v>
      </c>
      <c r="DF70" s="66">
        <f t="shared" si="56"/>
        <v>0</v>
      </c>
      <c r="DG70" s="66">
        <f t="shared" si="56"/>
        <v>0</v>
      </c>
      <c r="DH70" s="66">
        <f t="shared" si="56"/>
        <v>0</v>
      </c>
      <c r="DI70" s="66">
        <f t="shared" si="56"/>
        <v>0</v>
      </c>
      <c r="DJ70" s="66">
        <f t="shared" si="56"/>
        <v>0</v>
      </c>
      <c r="DK70" s="66">
        <f t="shared" si="56"/>
        <v>0</v>
      </c>
      <c r="DL70" s="66">
        <f t="shared" si="56"/>
        <v>0</v>
      </c>
      <c r="DM70" s="66">
        <f t="shared" si="56"/>
        <v>0</v>
      </c>
      <c r="DN70" s="66">
        <f t="shared" si="56"/>
        <v>0</v>
      </c>
      <c r="DO70" s="66">
        <f t="shared" si="56"/>
        <v>0</v>
      </c>
      <c r="DP70" s="66">
        <f t="shared" si="56"/>
        <v>0</v>
      </c>
      <c r="DQ70" s="66">
        <f t="shared" si="56"/>
        <v>0</v>
      </c>
      <c r="DR70" s="66">
        <f t="shared" si="56"/>
        <v>0</v>
      </c>
      <c r="DS70" s="66">
        <f t="shared" si="54"/>
        <v>0</v>
      </c>
      <c r="DT70" s="66">
        <f t="shared" si="50"/>
        <v>0</v>
      </c>
      <c r="DU70" s="66">
        <f t="shared" si="50"/>
        <v>0</v>
      </c>
      <c r="DV70" s="66">
        <f t="shared" si="50"/>
        <v>1853500</v>
      </c>
      <c r="DW70" s="66">
        <f t="shared" si="50"/>
        <v>0</v>
      </c>
      <c r="DX70" s="66">
        <f t="shared" si="50"/>
        <v>0</v>
      </c>
      <c r="DY70" s="66"/>
      <c r="DZ70" s="66">
        <f t="shared" si="51"/>
        <v>0</v>
      </c>
      <c r="EC70" s="170">
        <v>2120000</v>
      </c>
      <c r="ED70" s="169">
        <v>266500</v>
      </c>
      <c r="EE70" s="171">
        <f t="shared" si="52"/>
        <v>0.12570754716981133</v>
      </c>
    </row>
    <row r="71" spans="1:135" ht="28.8" hidden="1" customHeight="1" x14ac:dyDescent="0.3">
      <c r="A71" s="207"/>
      <c r="B71" s="234"/>
      <c r="C71" s="121" t="s">
        <v>209</v>
      </c>
      <c r="D71" s="69" t="s">
        <v>208</v>
      </c>
      <c r="E71" s="124">
        <v>410</v>
      </c>
      <c r="F71" s="67" t="s">
        <v>127</v>
      </c>
      <c r="G71" s="66">
        <f t="shared" si="39"/>
        <v>4000000</v>
      </c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>
        <v>4000000</v>
      </c>
      <c r="AA71" s="66"/>
      <c r="AB71" s="66"/>
      <c r="AC71" s="66"/>
      <c r="AD71" s="66"/>
      <c r="AE71" s="22">
        <f t="shared" si="29"/>
        <v>0</v>
      </c>
      <c r="AF71" s="66">
        <f t="shared" si="40"/>
        <v>0</v>
      </c>
      <c r="AG71" s="66"/>
      <c r="AH71" s="66"/>
      <c r="AI71" s="66"/>
      <c r="AJ71" s="66"/>
      <c r="AK71" s="66"/>
      <c r="AL71" s="66"/>
      <c r="AM71" s="66"/>
      <c r="AN71" s="66"/>
      <c r="AO71" s="66"/>
      <c r="AP71" s="66"/>
      <c r="AQ71" s="66"/>
      <c r="AR71" s="66"/>
      <c r="AS71" s="66"/>
      <c r="AT71" s="66"/>
      <c r="AU71" s="66"/>
      <c r="AV71" s="66"/>
      <c r="AW71" s="66"/>
      <c r="AX71" s="66"/>
      <c r="AY71" s="66"/>
      <c r="AZ71" s="66"/>
      <c r="BA71" s="66"/>
      <c r="BB71" s="66"/>
      <c r="BC71" s="66"/>
      <c r="BD71" s="22">
        <f t="shared" si="57"/>
        <v>1</v>
      </c>
      <c r="BE71" s="66">
        <f t="shared" si="41"/>
        <v>4000000</v>
      </c>
      <c r="BF71" s="66">
        <f t="shared" si="42"/>
        <v>0</v>
      </c>
      <c r="BG71" s="66">
        <f t="shared" si="42"/>
        <v>0</v>
      </c>
      <c r="BH71" s="66">
        <f t="shared" si="42"/>
        <v>0</v>
      </c>
      <c r="BI71" s="66">
        <f t="shared" si="43"/>
        <v>0</v>
      </c>
      <c r="BJ71" s="66">
        <f t="shared" si="55"/>
        <v>0</v>
      </c>
      <c r="BK71" s="66">
        <f t="shared" si="55"/>
        <v>0</v>
      </c>
      <c r="BL71" s="66">
        <f t="shared" si="55"/>
        <v>0</v>
      </c>
      <c r="BM71" s="66">
        <f t="shared" si="55"/>
        <v>0</v>
      </c>
      <c r="BN71" s="66">
        <f t="shared" si="55"/>
        <v>0</v>
      </c>
      <c r="BO71" s="66">
        <f t="shared" si="55"/>
        <v>0</v>
      </c>
      <c r="BP71" s="66">
        <f t="shared" si="55"/>
        <v>0</v>
      </c>
      <c r="BQ71" s="66">
        <f t="shared" si="55"/>
        <v>0</v>
      </c>
      <c r="BR71" s="66">
        <f t="shared" si="55"/>
        <v>0</v>
      </c>
      <c r="BS71" s="66">
        <f t="shared" si="55"/>
        <v>0</v>
      </c>
      <c r="BT71" s="66">
        <f t="shared" si="55"/>
        <v>0</v>
      </c>
      <c r="BU71" s="66">
        <f t="shared" si="55"/>
        <v>0</v>
      </c>
      <c r="BV71" s="66">
        <f t="shared" si="55"/>
        <v>0</v>
      </c>
      <c r="BW71" s="66">
        <f t="shared" si="55"/>
        <v>0</v>
      </c>
      <c r="BX71" s="66">
        <f t="shared" si="55"/>
        <v>4000000</v>
      </c>
      <c r="BY71" s="66">
        <f t="shared" si="53"/>
        <v>0</v>
      </c>
      <c r="BZ71" s="66">
        <f t="shared" si="45"/>
        <v>0</v>
      </c>
      <c r="CA71" s="66"/>
      <c r="CB71" s="66">
        <f t="shared" si="46"/>
        <v>0</v>
      </c>
      <c r="CC71" s="22">
        <f t="shared" si="58"/>
        <v>0</v>
      </c>
      <c r="CD71" s="66">
        <f t="shared" si="47"/>
        <v>0</v>
      </c>
      <c r="CE71" s="66"/>
      <c r="CF71" s="66"/>
      <c r="CG71" s="66"/>
      <c r="CH71" s="66"/>
      <c r="CI71" s="66"/>
      <c r="CJ71" s="66"/>
      <c r="CK71" s="66"/>
      <c r="CL71" s="66"/>
      <c r="CM71" s="66"/>
      <c r="CN71" s="66"/>
      <c r="CO71" s="66"/>
      <c r="CP71" s="66"/>
      <c r="CQ71" s="66"/>
      <c r="CR71" s="66"/>
      <c r="CS71" s="66"/>
      <c r="CT71" s="66"/>
      <c r="CU71" s="66"/>
      <c r="CV71" s="66"/>
      <c r="CW71" s="66"/>
      <c r="CX71" s="66"/>
      <c r="CY71" s="66"/>
      <c r="CZ71" s="66"/>
      <c r="DA71" s="66"/>
      <c r="DB71" s="22">
        <f t="shared" si="59"/>
        <v>1</v>
      </c>
      <c r="DC71" s="66">
        <f t="shared" si="48"/>
        <v>4000000</v>
      </c>
      <c r="DD71" s="66">
        <f t="shared" si="56"/>
        <v>0</v>
      </c>
      <c r="DE71" s="66">
        <f t="shared" si="56"/>
        <v>0</v>
      </c>
      <c r="DF71" s="66">
        <f t="shared" si="56"/>
        <v>0</v>
      </c>
      <c r="DG71" s="66">
        <f t="shared" si="56"/>
        <v>0</v>
      </c>
      <c r="DH71" s="66">
        <f t="shared" si="56"/>
        <v>0</v>
      </c>
      <c r="DI71" s="66">
        <f t="shared" si="56"/>
        <v>0</v>
      </c>
      <c r="DJ71" s="66">
        <f t="shared" si="56"/>
        <v>0</v>
      </c>
      <c r="DK71" s="66">
        <f t="shared" si="56"/>
        <v>0</v>
      </c>
      <c r="DL71" s="66">
        <f t="shared" si="56"/>
        <v>0</v>
      </c>
      <c r="DM71" s="66">
        <f t="shared" si="56"/>
        <v>0</v>
      </c>
      <c r="DN71" s="66">
        <f t="shared" si="56"/>
        <v>0</v>
      </c>
      <c r="DO71" s="66">
        <f t="shared" si="56"/>
        <v>0</v>
      </c>
      <c r="DP71" s="66">
        <f t="shared" si="56"/>
        <v>0</v>
      </c>
      <c r="DQ71" s="66">
        <f t="shared" si="56"/>
        <v>0</v>
      </c>
      <c r="DR71" s="66">
        <f t="shared" si="56"/>
        <v>0</v>
      </c>
      <c r="DS71" s="66">
        <f t="shared" si="54"/>
        <v>0</v>
      </c>
      <c r="DT71" s="66">
        <f t="shared" si="50"/>
        <v>0</v>
      </c>
      <c r="DU71" s="66">
        <f t="shared" si="50"/>
        <v>0</v>
      </c>
      <c r="DV71" s="66">
        <f t="shared" si="50"/>
        <v>4000000</v>
      </c>
      <c r="DW71" s="66">
        <f t="shared" si="50"/>
        <v>0</v>
      </c>
      <c r="DX71" s="66">
        <f t="shared" si="50"/>
        <v>0</v>
      </c>
      <c r="DY71" s="66"/>
      <c r="DZ71" s="66">
        <f t="shared" si="51"/>
        <v>0</v>
      </c>
      <c r="EC71" s="170">
        <v>4000000</v>
      </c>
      <c r="ED71" s="169">
        <v>0</v>
      </c>
      <c r="EE71" s="171">
        <f t="shared" si="52"/>
        <v>0</v>
      </c>
    </row>
    <row r="72" spans="1:135" ht="15" hidden="1" customHeight="1" x14ac:dyDescent="0.3">
      <c r="A72" s="207"/>
      <c r="B72" s="220"/>
      <c r="C72" s="121" t="s">
        <v>207</v>
      </c>
      <c r="D72" s="69" t="s">
        <v>206</v>
      </c>
      <c r="E72" s="124">
        <v>410</v>
      </c>
      <c r="F72" s="67" t="s">
        <v>127</v>
      </c>
      <c r="G72" s="66">
        <f t="shared" si="39"/>
        <v>152000000</v>
      </c>
      <c r="H72" s="66"/>
      <c r="I72" s="66"/>
      <c r="J72" s="66"/>
      <c r="K72" s="66"/>
      <c r="L72" s="66"/>
      <c r="M72" s="66"/>
      <c r="N72" s="66"/>
      <c r="O72" s="66">
        <f>80000000+42000000</f>
        <v>122000000</v>
      </c>
      <c r="P72" s="66"/>
      <c r="Q72" s="66"/>
      <c r="R72" s="66"/>
      <c r="S72" s="66">
        <f>30000000</f>
        <v>30000000</v>
      </c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  <c r="AE72" s="22">
        <f t="shared" si="29"/>
        <v>0.57697543421052633</v>
      </c>
      <c r="AF72" s="66">
        <f t="shared" si="40"/>
        <v>87700266</v>
      </c>
      <c r="AG72" s="66"/>
      <c r="AH72" s="66"/>
      <c r="AI72" s="66"/>
      <c r="AJ72" s="66"/>
      <c r="AK72" s="66"/>
      <c r="AL72" s="66"/>
      <c r="AM72" s="66"/>
      <c r="AN72" s="66">
        <f>+'[1]OCTUBRE 2019'!$Q$2792</f>
        <v>87700266</v>
      </c>
      <c r="AO72" s="66"/>
      <c r="AP72" s="66"/>
      <c r="AQ72" s="66"/>
      <c r="AR72" s="66"/>
      <c r="AS72" s="66"/>
      <c r="AT72" s="66"/>
      <c r="AU72" s="66"/>
      <c r="AV72" s="66"/>
      <c r="AW72" s="66"/>
      <c r="AX72" s="66"/>
      <c r="AY72" s="66"/>
      <c r="AZ72" s="66"/>
      <c r="BA72" s="66"/>
      <c r="BB72" s="66"/>
      <c r="BC72" s="66"/>
      <c r="BD72" s="22">
        <f t="shared" si="57"/>
        <v>0.42302456578947367</v>
      </c>
      <c r="BE72" s="66">
        <f t="shared" si="41"/>
        <v>64299734</v>
      </c>
      <c r="BF72" s="66">
        <f t="shared" si="42"/>
        <v>0</v>
      </c>
      <c r="BG72" s="66">
        <f t="shared" si="42"/>
        <v>0</v>
      </c>
      <c r="BH72" s="66">
        <f t="shared" si="42"/>
        <v>0</v>
      </c>
      <c r="BI72" s="66">
        <f t="shared" si="43"/>
        <v>0</v>
      </c>
      <c r="BJ72" s="66">
        <f t="shared" si="55"/>
        <v>0</v>
      </c>
      <c r="BK72" s="66">
        <f t="shared" si="55"/>
        <v>0</v>
      </c>
      <c r="BL72" s="66">
        <f t="shared" si="55"/>
        <v>0</v>
      </c>
      <c r="BM72" s="66">
        <f t="shared" si="55"/>
        <v>34299734</v>
      </c>
      <c r="BN72" s="66">
        <f t="shared" si="55"/>
        <v>0</v>
      </c>
      <c r="BO72" s="66">
        <f t="shared" si="55"/>
        <v>0</v>
      </c>
      <c r="BP72" s="66">
        <f t="shared" si="55"/>
        <v>0</v>
      </c>
      <c r="BQ72" s="66">
        <f t="shared" si="55"/>
        <v>30000000</v>
      </c>
      <c r="BR72" s="66">
        <f t="shared" si="55"/>
        <v>0</v>
      </c>
      <c r="BS72" s="66">
        <f t="shared" si="55"/>
        <v>0</v>
      </c>
      <c r="BT72" s="66">
        <f t="shared" si="55"/>
        <v>0</v>
      </c>
      <c r="BU72" s="66">
        <f t="shared" si="55"/>
        <v>0</v>
      </c>
      <c r="BV72" s="66">
        <f t="shared" si="55"/>
        <v>0</v>
      </c>
      <c r="BW72" s="66">
        <f t="shared" si="55"/>
        <v>0</v>
      </c>
      <c r="BX72" s="66">
        <f t="shared" si="55"/>
        <v>0</v>
      </c>
      <c r="BY72" s="66">
        <f t="shared" si="53"/>
        <v>0</v>
      </c>
      <c r="BZ72" s="66">
        <f t="shared" si="45"/>
        <v>0</v>
      </c>
      <c r="CA72" s="66"/>
      <c r="CB72" s="66">
        <f t="shared" si="46"/>
        <v>0</v>
      </c>
      <c r="CC72" s="22">
        <f t="shared" si="58"/>
        <v>0.50615305921052633</v>
      </c>
      <c r="CD72" s="66">
        <f t="shared" si="47"/>
        <v>76935265</v>
      </c>
      <c r="CE72" s="66"/>
      <c r="CF72" s="66"/>
      <c r="CG72" s="66"/>
      <c r="CH72" s="66"/>
      <c r="CI72" s="66"/>
      <c r="CJ72" s="66"/>
      <c r="CK72" s="66"/>
      <c r="CL72" s="66">
        <f>+'[1]OCTUBRE 2019'!$H$2790</f>
        <v>76935265</v>
      </c>
      <c r="CM72" s="66"/>
      <c r="CN72" s="66"/>
      <c r="CO72" s="66"/>
      <c r="CP72" s="66"/>
      <c r="CQ72" s="66"/>
      <c r="CR72" s="66"/>
      <c r="CS72" s="66"/>
      <c r="CT72" s="66"/>
      <c r="CU72" s="66"/>
      <c r="CV72" s="66"/>
      <c r="CW72" s="66"/>
      <c r="CX72" s="66"/>
      <c r="CY72" s="66"/>
      <c r="CZ72" s="66"/>
      <c r="DA72" s="66"/>
      <c r="DB72" s="22">
        <f t="shared" si="59"/>
        <v>0.49384694078947367</v>
      </c>
      <c r="DC72" s="66">
        <f t="shared" si="48"/>
        <v>75064735</v>
      </c>
      <c r="DD72" s="66">
        <f t="shared" si="56"/>
        <v>0</v>
      </c>
      <c r="DE72" s="66">
        <f t="shared" si="56"/>
        <v>0</v>
      </c>
      <c r="DF72" s="66">
        <f t="shared" si="56"/>
        <v>0</v>
      </c>
      <c r="DG72" s="66">
        <f t="shared" si="56"/>
        <v>0</v>
      </c>
      <c r="DH72" s="66">
        <f t="shared" si="56"/>
        <v>0</v>
      </c>
      <c r="DI72" s="66">
        <f t="shared" si="56"/>
        <v>0</v>
      </c>
      <c r="DJ72" s="66">
        <f t="shared" si="56"/>
        <v>0</v>
      </c>
      <c r="DK72" s="66">
        <f t="shared" si="56"/>
        <v>45064735</v>
      </c>
      <c r="DL72" s="66">
        <f t="shared" si="56"/>
        <v>0</v>
      </c>
      <c r="DM72" s="66">
        <f t="shared" si="56"/>
        <v>0</v>
      </c>
      <c r="DN72" s="66">
        <f t="shared" si="56"/>
        <v>0</v>
      </c>
      <c r="DO72" s="66">
        <f t="shared" si="56"/>
        <v>30000000</v>
      </c>
      <c r="DP72" s="66">
        <f t="shared" si="56"/>
        <v>0</v>
      </c>
      <c r="DQ72" s="66">
        <f t="shared" si="56"/>
        <v>0</v>
      </c>
      <c r="DR72" s="66">
        <f t="shared" si="56"/>
        <v>0</v>
      </c>
      <c r="DS72" s="66">
        <f t="shared" si="54"/>
        <v>0</v>
      </c>
      <c r="DT72" s="66">
        <f t="shared" si="50"/>
        <v>0</v>
      </c>
      <c r="DU72" s="66">
        <f t="shared" si="50"/>
        <v>0</v>
      </c>
      <c r="DV72" s="66">
        <f t="shared" si="50"/>
        <v>0</v>
      </c>
      <c r="DW72" s="66">
        <f t="shared" si="50"/>
        <v>0</v>
      </c>
      <c r="DX72" s="66">
        <f t="shared" si="50"/>
        <v>0</v>
      </c>
      <c r="DY72" s="66"/>
      <c r="DZ72" s="66">
        <f t="shared" si="51"/>
        <v>0</v>
      </c>
      <c r="EC72" s="170">
        <v>152000000</v>
      </c>
      <c r="ED72" s="169">
        <v>76935265</v>
      </c>
      <c r="EE72" s="171">
        <f t="shared" si="52"/>
        <v>0.50615305921052633</v>
      </c>
    </row>
    <row r="73" spans="1:135" ht="42.6" hidden="1" customHeight="1" x14ac:dyDescent="0.3">
      <c r="A73" s="207"/>
      <c r="B73" s="94" t="s">
        <v>205</v>
      </c>
      <c r="C73" s="121" t="s">
        <v>204</v>
      </c>
      <c r="D73" s="71" t="s">
        <v>203</v>
      </c>
      <c r="E73" s="124">
        <v>410</v>
      </c>
      <c r="F73" s="67" t="s">
        <v>127</v>
      </c>
      <c r="G73" s="66">
        <f t="shared" si="39"/>
        <v>3757651561</v>
      </c>
      <c r="H73" s="66"/>
      <c r="I73" s="66"/>
      <c r="J73" s="66"/>
      <c r="K73" s="66"/>
      <c r="L73" s="66"/>
      <c r="M73" s="66"/>
      <c r="N73" s="66"/>
      <c r="O73" s="66">
        <f>100000000</f>
        <v>100000000</v>
      </c>
      <c r="P73" s="66"/>
      <c r="Q73" s="66"/>
      <c r="R73" s="66"/>
      <c r="S73" s="66"/>
      <c r="T73" s="66"/>
      <c r="U73" s="66"/>
      <c r="V73" s="66"/>
      <c r="W73" s="66">
        <f>3000000000+457651561</f>
        <v>3457651561</v>
      </c>
      <c r="X73" s="66"/>
      <c r="Y73" s="66"/>
      <c r="Z73" s="66">
        <v>200000000</v>
      </c>
      <c r="AA73" s="66"/>
      <c r="AB73" s="66"/>
      <c r="AC73" s="66"/>
      <c r="AD73" s="66"/>
      <c r="AE73" s="22">
        <f t="shared" si="29"/>
        <v>0.51570510212082965</v>
      </c>
      <c r="AF73" s="66">
        <f t="shared" si="40"/>
        <v>1937840082</v>
      </c>
      <c r="AG73" s="66"/>
      <c r="AH73" s="66"/>
      <c r="AI73" s="66"/>
      <c r="AJ73" s="66"/>
      <c r="AK73" s="66"/>
      <c r="AL73" s="66"/>
      <c r="AM73" s="66"/>
      <c r="AN73" s="66"/>
      <c r="AO73" s="66"/>
      <c r="AP73" s="66"/>
      <c r="AQ73" s="66"/>
      <c r="AR73" s="66"/>
      <c r="AS73" s="66"/>
      <c r="AT73" s="66"/>
      <c r="AU73" s="66"/>
      <c r="AV73" s="66">
        <f>+'[3]JULIO 2019'!$X$1802</f>
        <v>1778728458</v>
      </c>
      <c r="AW73" s="66"/>
      <c r="AX73" s="66"/>
      <c r="AY73" s="66">
        <f>+'[7]AGOSTO 2019'!$AA$2083</f>
        <v>159111624</v>
      </c>
      <c r="AZ73" s="66"/>
      <c r="BA73" s="66"/>
      <c r="BB73" s="66"/>
      <c r="BC73" s="66"/>
      <c r="BD73" s="22">
        <f t="shared" si="57"/>
        <v>0.48429489787917035</v>
      </c>
      <c r="BE73" s="66">
        <f t="shared" si="41"/>
        <v>1819811479</v>
      </c>
      <c r="BF73" s="66">
        <f t="shared" si="42"/>
        <v>0</v>
      </c>
      <c r="BG73" s="66">
        <f t="shared" si="42"/>
        <v>0</v>
      </c>
      <c r="BH73" s="66">
        <f t="shared" si="42"/>
        <v>0</v>
      </c>
      <c r="BI73" s="66">
        <f t="shared" si="43"/>
        <v>0</v>
      </c>
      <c r="BJ73" s="66">
        <f t="shared" si="55"/>
        <v>0</v>
      </c>
      <c r="BK73" s="66">
        <f t="shared" si="55"/>
        <v>0</v>
      </c>
      <c r="BL73" s="66">
        <f t="shared" si="55"/>
        <v>0</v>
      </c>
      <c r="BM73" s="66">
        <f t="shared" si="55"/>
        <v>100000000</v>
      </c>
      <c r="BN73" s="66">
        <f t="shared" si="55"/>
        <v>0</v>
      </c>
      <c r="BO73" s="66">
        <f t="shared" si="55"/>
        <v>0</v>
      </c>
      <c r="BP73" s="66">
        <f t="shared" si="55"/>
        <v>0</v>
      </c>
      <c r="BQ73" s="66">
        <f t="shared" si="55"/>
        <v>0</v>
      </c>
      <c r="BR73" s="66">
        <f t="shared" si="55"/>
        <v>0</v>
      </c>
      <c r="BS73" s="66">
        <f t="shared" si="55"/>
        <v>0</v>
      </c>
      <c r="BT73" s="66">
        <f t="shared" si="55"/>
        <v>0</v>
      </c>
      <c r="BU73" s="66">
        <f t="shared" si="55"/>
        <v>1678923103</v>
      </c>
      <c r="BV73" s="66">
        <f t="shared" si="55"/>
        <v>0</v>
      </c>
      <c r="BW73" s="66">
        <f t="shared" si="55"/>
        <v>0</v>
      </c>
      <c r="BX73" s="66">
        <f t="shared" si="55"/>
        <v>40888376</v>
      </c>
      <c r="BY73" s="66">
        <f t="shared" si="53"/>
        <v>0</v>
      </c>
      <c r="BZ73" s="66">
        <f t="shared" si="45"/>
        <v>0</v>
      </c>
      <c r="CA73" s="66"/>
      <c r="CB73" s="66">
        <f t="shared" si="46"/>
        <v>0</v>
      </c>
      <c r="CC73" s="22">
        <f t="shared" si="58"/>
        <v>0.27719024558062266</v>
      </c>
      <c r="CD73" s="66">
        <f t="shared" si="47"/>
        <v>1041584359</v>
      </c>
      <c r="CE73" s="66"/>
      <c r="CF73" s="66"/>
      <c r="CG73" s="66"/>
      <c r="CH73" s="66"/>
      <c r="CI73" s="66"/>
      <c r="CJ73" s="66"/>
      <c r="CK73" s="66"/>
      <c r="CL73" s="66"/>
      <c r="CM73" s="66"/>
      <c r="CN73" s="66"/>
      <c r="CO73" s="66"/>
      <c r="CP73" s="66"/>
      <c r="CQ73" s="66"/>
      <c r="CR73" s="66"/>
      <c r="CS73" s="66"/>
      <c r="CT73" s="66">
        <f>+'[1]OCTUBRE 2019'!$H$2813-CW73</f>
        <v>991295154</v>
      </c>
      <c r="CU73" s="66"/>
      <c r="CV73" s="66"/>
      <c r="CW73" s="66">
        <f>+'[1]OCTUBRE 2019'!$H$2869+'[1]OCTUBRE 2019'!$H$2880+'[1]OCTUBRE 2019'!$H$2890+'[1]OCTUBRE 2019'!$H$2944+'[1]OCTUBRE 2019'!$H$2954</f>
        <v>50289205</v>
      </c>
      <c r="CX73" s="66"/>
      <c r="CY73" s="66"/>
      <c r="CZ73" s="66"/>
      <c r="DA73" s="66"/>
      <c r="DB73" s="22">
        <f t="shared" si="59"/>
        <v>0.72280975441937734</v>
      </c>
      <c r="DC73" s="66">
        <f t="shared" si="48"/>
        <v>2716067202</v>
      </c>
      <c r="DD73" s="66">
        <f t="shared" si="56"/>
        <v>0</v>
      </c>
      <c r="DE73" s="66">
        <f t="shared" si="56"/>
        <v>0</v>
      </c>
      <c r="DF73" s="66">
        <f t="shared" si="56"/>
        <v>0</v>
      </c>
      <c r="DG73" s="66">
        <f t="shared" si="56"/>
        <v>0</v>
      </c>
      <c r="DH73" s="66">
        <f t="shared" si="56"/>
        <v>0</v>
      </c>
      <c r="DI73" s="66">
        <f t="shared" si="56"/>
        <v>0</v>
      </c>
      <c r="DJ73" s="66">
        <f t="shared" si="56"/>
        <v>0</v>
      </c>
      <c r="DK73" s="66">
        <f t="shared" si="56"/>
        <v>100000000</v>
      </c>
      <c r="DL73" s="66">
        <f t="shared" si="56"/>
        <v>0</v>
      </c>
      <c r="DM73" s="66">
        <f t="shared" si="56"/>
        <v>0</v>
      </c>
      <c r="DN73" s="66">
        <f t="shared" si="56"/>
        <v>0</v>
      </c>
      <c r="DO73" s="66">
        <f t="shared" si="56"/>
        <v>0</v>
      </c>
      <c r="DP73" s="66">
        <f t="shared" si="56"/>
        <v>0</v>
      </c>
      <c r="DQ73" s="66">
        <f t="shared" si="56"/>
        <v>0</v>
      </c>
      <c r="DR73" s="66">
        <f t="shared" si="56"/>
        <v>0</v>
      </c>
      <c r="DS73" s="66">
        <f t="shared" si="54"/>
        <v>2466356407</v>
      </c>
      <c r="DT73" s="66">
        <f t="shared" si="50"/>
        <v>0</v>
      </c>
      <c r="DU73" s="66">
        <f t="shared" si="50"/>
        <v>0</v>
      </c>
      <c r="DV73" s="66">
        <f t="shared" si="50"/>
        <v>149710795</v>
      </c>
      <c r="DW73" s="66">
        <f t="shared" si="50"/>
        <v>0</v>
      </c>
      <c r="DX73" s="66">
        <f t="shared" si="50"/>
        <v>0</v>
      </c>
      <c r="DY73" s="66"/>
      <c r="DZ73" s="66">
        <f t="shared" si="51"/>
        <v>0</v>
      </c>
      <c r="EC73" s="170">
        <v>3757651561</v>
      </c>
      <c r="ED73" s="169">
        <v>1041584359</v>
      </c>
      <c r="EE73" s="171">
        <f t="shared" si="52"/>
        <v>0.27719024558062266</v>
      </c>
    </row>
    <row r="74" spans="1:135" ht="43.2" hidden="1" customHeight="1" x14ac:dyDescent="0.3">
      <c r="A74" s="73"/>
      <c r="B74" s="235" t="s">
        <v>202</v>
      </c>
      <c r="C74" s="121" t="s">
        <v>201</v>
      </c>
      <c r="D74" s="69" t="s">
        <v>200</v>
      </c>
      <c r="E74" s="124">
        <v>410</v>
      </c>
      <c r="F74" s="67" t="s">
        <v>127</v>
      </c>
      <c r="G74" s="66">
        <f t="shared" si="39"/>
        <v>30000000</v>
      </c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>
        <f>15000000+15000000</f>
        <v>30000000</v>
      </c>
      <c r="AA74" s="66"/>
      <c r="AB74" s="66"/>
      <c r="AC74" s="66"/>
      <c r="AD74" s="66"/>
      <c r="AE74" s="22">
        <f t="shared" si="29"/>
        <v>0.78402593333333337</v>
      </c>
      <c r="AF74" s="66">
        <f t="shared" si="40"/>
        <v>23520778</v>
      </c>
      <c r="AG74" s="66"/>
      <c r="AH74" s="66"/>
      <c r="AI74" s="66"/>
      <c r="AJ74" s="66"/>
      <c r="AK74" s="66"/>
      <c r="AL74" s="66"/>
      <c r="AM74" s="66"/>
      <c r="AN74" s="66"/>
      <c r="AO74" s="66"/>
      <c r="AP74" s="66"/>
      <c r="AQ74" s="66"/>
      <c r="AR74" s="66"/>
      <c r="AS74" s="66"/>
      <c r="AT74" s="66"/>
      <c r="AU74" s="66"/>
      <c r="AV74" s="66"/>
      <c r="AW74" s="66"/>
      <c r="AX74" s="66"/>
      <c r="AY74" s="66">
        <f>+'[7]AGOSTO 2019'!$AA$2265</f>
        <v>23520778</v>
      </c>
      <c r="AZ74" s="66"/>
      <c r="BA74" s="66"/>
      <c r="BB74" s="66"/>
      <c r="BC74" s="66"/>
      <c r="BD74" s="22">
        <f t="shared" si="57"/>
        <v>0.21597406666666663</v>
      </c>
      <c r="BE74" s="66">
        <f t="shared" si="41"/>
        <v>6479222</v>
      </c>
      <c r="BF74" s="66">
        <f t="shared" si="42"/>
        <v>0</v>
      </c>
      <c r="BG74" s="66">
        <f t="shared" si="42"/>
        <v>0</v>
      </c>
      <c r="BH74" s="66">
        <f t="shared" si="42"/>
        <v>0</v>
      </c>
      <c r="BI74" s="66">
        <f t="shared" si="43"/>
        <v>0</v>
      </c>
      <c r="BJ74" s="66">
        <f t="shared" ref="BJ74:BX80" si="60">L74-AK74</f>
        <v>0</v>
      </c>
      <c r="BK74" s="66">
        <f t="shared" si="60"/>
        <v>0</v>
      </c>
      <c r="BL74" s="66">
        <f t="shared" si="60"/>
        <v>0</v>
      </c>
      <c r="BM74" s="66">
        <f t="shared" si="60"/>
        <v>0</v>
      </c>
      <c r="BN74" s="66">
        <f t="shared" si="60"/>
        <v>0</v>
      </c>
      <c r="BO74" s="66">
        <f t="shared" si="60"/>
        <v>0</v>
      </c>
      <c r="BP74" s="66">
        <f t="shared" si="60"/>
        <v>0</v>
      </c>
      <c r="BQ74" s="66">
        <f t="shared" si="60"/>
        <v>0</v>
      </c>
      <c r="BR74" s="66">
        <f t="shared" si="60"/>
        <v>0</v>
      </c>
      <c r="BS74" s="66">
        <f t="shared" si="60"/>
        <v>0</v>
      </c>
      <c r="BT74" s="66">
        <f t="shared" si="60"/>
        <v>0</v>
      </c>
      <c r="BU74" s="66">
        <f t="shared" si="60"/>
        <v>0</v>
      </c>
      <c r="BV74" s="66">
        <f t="shared" si="60"/>
        <v>0</v>
      </c>
      <c r="BW74" s="66">
        <f t="shared" si="60"/>
        <v>0</v>
      </c>
      <c r="BX74" s="66">
        <f t="shared" si="60"/>
        <v>6479222</v>
      </c>
      <c r="BY74" s="66">
        <f t="shared" si="53"/>
        <v>0</v>
      </c>
      <c r="BZ74" s="66">
        <f t="shared" si="45"/>
        <v>0</v>
      </c>
      <c r="CA74" s="66"/>
      <c r="CB74" s="66">
        <f t="shared" si="46"/>
        <v>0</v>
      </c>
      <c r="CC74" s="22">
        <f t="shared" si="58"/>
        <v>0.78402583333333331</v>
      </c>
      <c r="CD74" s="66">
        <f t="shared" si="47"/>
        <v>23520775</v>
      </c>
      <c r="CE74" s="66"/>
      <c r="CF74" s="66"/>
      <c r="CG74" s="66"/>
      <c r="CH74" s="66"/>
      <c r="CI74" s="66"/>
      <c r="CJ74" s="66"/>
      <c r="CK74" s="66"/>
      <c r="CL74" s="66"/>
      <c r="CM74" s="66"/>
      <c r="CN74" s="66"/>
      <c r="CO74" s="66"/>
      <c r="CP74" s="66"/>
      <c r="CQ74" s="66"/>
      <c r="CR74" s="66"/>
      <c r="CS74" s="66"/>
      <c r="CT74" s="66"/>
      <c r="CU74" s="66"/>
      <c r="CV74" s="66"/>
      <c r="CW74" s="66">
        <f>+'[7]AGOSTO 2019'!$H$2263</f>
        <v>23520775</v>
      </c>
      <c r="CX74" s="66"/>
      <c r="CY74" s="66"/>
      <c r="CZ74" s="66"/>
      <c r="DA74" s="66"/>
      <c r="DB74" s="22">
        <f t="shared" si="59"/>
        <v>0.21597416666666669</v>
      </c>
      <c r="DC74" s="66">
        <f t="shared" si="48"/>
        <v>6479225</v>
      </c>
      <c r="DD74" s="66">
        <f t="shared" ref="DD74:DR80" si="61">H74-CE74</f>
        <v>0</v>
      </c>
      <c r="DE74" s="66">
        <f t="shared" si="61"/>
        <v>0</v>
      </c>
      <c r="DF74" s="66">
        <f t="shared" si="61"/>
        <v>0</v>
      </c>
      <c r="DG74" s="66">
        <f t="shared" si="61"/>
        <v>0</v>
      </c>
      <c r="DH74" s="66">
        <f t="shared" si="61"/>
        <v>0</v>
      </c>
      <c r="DI74" s="66">
        <f t="shared" si="61"/>
        <v>0</v>
      </c>
      <c r="DJ74" s="66">
        <f t="shared" si="61"/>
        <v>0</v>
      </c>
      <c r="DK74" s="66">
        <f t="shared" si="61"/>
        <v>0</v>
      </c>
      <c r="DL74" s="66">
        <f t="shared" si="61"/>
        <v>0</v>
      </c>
      <c r="DM74" s="66">
        <f t="shared" si="61"/>
        <v>0</v>
      </c>
      <c r="DN74" s="66">
        <f t="shared" si="61"/>
        <v>0</v>
      </c>
      <c r="DO74" s="66">
        <f t="shared" si="61"/>
        <v>0</v>
      </c>
      <c r="DP74" s="66">
        <f t="shared" si="61"/>
        <v>0</v>
      </c>
      <c r="DQ74" s="66">
        <f t="shared" si="61"/>
        <v>0</v>
      </c>
      <c r="DR74" s="66">
        <f t="shared" si="61"/>
        <v>0</v>
      </c>
      <c r="DS74" s="66">
        <f t="shared" si="54"/>
        <v>0</v>
      </c>
      <c r="DT74" s="66">
        <f t="shared" si="50"/>
        <v>0</v>
      </c>
      <c r="DU74" s="66">
        <f t="shared" si="50"/>
        <v>0</v>
      </c>
      <c r="DV74" s="66">
        <f t="shared" si="50"/>
        <v>6479225</v>
      </c>
      <c r="DW74" s="66">
        <f t="shared" si="50"/>
        <v>0</v>
      </c>
      <c r="DX74" s="66">
        <f t="shared" si="50"/>
        <v>0</v>
      </c>
      <c r="DY74" s="66"/>
      <c r="DZ74" s="66">
        <f t="shared" si="51"/>
        <v>0</v>
      </c>
      <c r="EC74" s="170">
        <v>30000000</v>
      </c>
      <c r="ED74" s="169">
        <v>23520775</v>
      </c>
      <c r="EE74" s="171">
        <f t="shared" si="52"/>
        <v>0.78402583333333331</v>
      </c>
    </row>
    <row r="75" spans="1:135" ht="58.8" hidden="1" customHeight="1" x14ac:dyDescent="0.3">
      <c r="A75" s="73"/>
      <c r="B75" s="235"/>
      <c r="C75" s="121" t="s">
        <v>199</v>
      </c>
      <c r="D75" s="69" t="s">
        <v>198</v>
      </c>
      <c r="E75" s="124">
        <v>410</v>
      </c>
      <c r="F75" s="67" t="s">
        <v>127</v>
      </c>
      <c r="G75" s="66">
        <f t="shared" si="39"/>
        <v>0</v>
      </c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  <c r="AE75" s="22" t="e">
        <f t="shared" si="29"/>
        <v>#DIV/0!</v>
      </c>
      <c r="AF75" s="66">
        <f t="shared" si="40"/>
        <v>0</v>
      </c>
      <c r="AG75" s="66"/>
      <c r="AH75" s="66"/>
      <c r="AI75" s="66"/>
      <c r="AJ75" s="66"/>
      <c r="AK75" s="66"/>
      <c r="AL75" s="66"/>
      <c r="AM75" s="66"/>
      <c r="AN75" s="66"/>
      <c r="AO75" s="66"/>
      <c r="AP75" s="66"/>
      <c r="AQ75" s="66"/>
      <c r="AR75" s="66"/>
      <c r="AS75" s="66"/>
      <c r="AT75" s="66"/>
      <c r="AU75" s="66"/>
      <c r="AV75" s="66"/>
      <c r="AW75" s="66"/>
      <c r="AX75" s="66"/>
      <c r="AY75" s="66"/>
      <c r="AZ75" s="66"/>
      <c r="BA75" s="66"/>
      <c r="BB75" s="66"/>
      <c r="BC75" s="66"/>
      <c r="BD75" s="22" t="e">
        <f t="shared" si="57"/>
        <v>#DIV/0!</v>
      </c>
      <c r="BE75" s="66">
        <f t="shared" si="41"/>
        <v>0</v>
      </c>
      <c r="BF75" s="66">
        <f t="shared" si="42"/>
        <v>0</v>
      </c>
      <c r="BG75" s="66">
        <f t="shared" si="42"/>
        <v>0</v>
      </c>
      <c r="BH75" s="66">
        <f t="shared" si="42"/>
        <v>0</v>
      </c>
      <c r="BI75" s="66">
        <f t="shared" si="43"/>
        <v>0</v>
      </c>
      <c r="BJ75" s="66">
        <f t="shared" si="60"/>
        <v>0</v>
      </c>
      <c r="BK75" s="66">
        <f t="shared" si="60"/>
        <v>0</v>
      </c>
      <c r="BL75" s="66">
        <f t="shared" si="60"/>
        <v>0</v>
      </c>
      <c r="BM75" s="66">
        <f t="shared" si="60"/>
        <v>0</v>
      </c>
      <c r="BN75" s="66">
        <f t="shared" si="60"/>
        <v>0</v>
      </c>
      <c r="BO75" s="66">
        <f t="shared" si="60"/>
        <v>0</v>
      </c>
      <c r="BP75" s="66">
        <f t="shared" si="60"/>
        <v>0</v>
      </c>
      <c r="BQ75" s="66">
        <f t="shared" si="60"/>
        <v>0</v>
      </c>
      <c r="BR75" s="66">
        <f t="shared" si="60"/>
        <v>0</v>
      </c>
      <c r="BS75" s="66">
        <f t="shared" si="60"/>
        <v>0</v>
      </c>
      <c r="BT75" s="66">
        <f t="shared" si="60"/>
        <v>0</v>
      </c>
      <c r="BU75" s="66">
        <f t="shared" si="60"/>
        <v>0</v>
      </c>
      <c r="BV75" s="66">
        <f t="shared" si="60"/>
        <v>0</v>
      </c>
      <c r="BW75" s="66">
        <f t="shared" si="60"/>
        <v>0</v>
      </c>
      <c r="BX75" s="66">
        <f t="shared" si="60"/>
        <v>0</v>
      </c>
      <c r="BY75" s="66">
        <f t="shared" si="53"/>
        <v>0</v>
      </c>
      <c r="BZ75" s="66">
        <f t="shared" si="45"/>
        <v>0</v>
      </c>
      <c r="CA75" s="66"/>
      <c r="CB75" s="66">
        <f t="shared" si="46"/>
        <v>0</v>
      </c>
      <c r="CC75" s="22" t="e">
        <f t="shared" si="58"/>
        <v>#DIV/0!</v>
      </c>
      <c r="CD75" s="66">
        <f t="shared" si="47"/>
        <v>0</v>
      </c>
      <c r="CE75" s="66"/>
      <c r="CF75" s="66"/>
      <c r="CG75" s="66"/>
      <c r="CH75" s="66"/>
      <c r="CI75" s="66"/>
      <c r="CJ75" s="66"/>
      <c r="CK75" s="66"/>
      <c r="CL75" s="66"/>
      <c r="CM75" s="66"/>
      <c r="CN75" s="66"/>
      <c r="CO75" s="66"/>
      <c r="CP75" s="66"/>
      <c r="CQ75" s="66"/>
      <c r="CR75" s="66"/>
      <c r="CS75" s="66"/>
      <c r="CT75" s="66"/>
      <c r="CU75" s="66"/>
      <c r="CV75" s="66"/>
      <c r="CW75" s="66"/>
      <c r="CX75" s="66"/>
      <c r="CY75" s="66"/>
      <c r="CZ75" s="66"/>
      <c r="DA75" s="66"/>
      <c r="DB75" s="22" t="e">
        <f t="shared" si="59"/>
        <v>#DIV/0!</v>
      </c>
      <c r="DC75" s="66">
        <f t="shared" si="48"/>
        <v>0</v>
      </c>
      <c r="DD75" s="66">
        <f t="shared" si="61"/>
        <v>0</v>
      </c>
      <c r="DE75" s="66">
        <f t="shared" si="61"/>
        <v>0</v>
      </c>
      <c r="DF75" s="66">
        <f t="shared" si="61"/>
        <v>0</v>
      </c>
      <c r="DG75" s="66">
        <f t="shared" si="61"/>
        <v>0</v>
      </c>
      <c r="DH75" s="66">
        <f t="shared" si="61"/>
        <v>0</v>
      </c>
      <c r="DI75" s="66">
        <f t="shared" si="61"/>
        <v>0</v>
      </c>
      <c r="DJ75" s="66">
        <f t="shared" si="61"/>
        <v>0</v>
      </c>
      <c r="DK75" s="66">
        <f t="shared" si="61"/>
        <v>0</v>
      </c>
      <c r="DL75" s="66">
        <f t="shared" si="61"/>
        <v>0</v>
      </c>
      <c r="DM75" s="66">
        <f t="shared" si="61"/>
        <v>0</v>
      </c>
      <c r="DN75" s="66">
        <f t="shared" si="61"/>
        <v>0</v>
      </c>
      <c r="DO75" s="66">
        <f t="shared" si="61"/>
        <v>0</v>
      </c>
      <c r="DP75" s="66">
        <f t="shared" si="61"/>
        <v>0</v>
      </c>
      <c r="DQ75" s="66">
        <f t="shared" si="61"/>
        <v>0</v>
      </c>
      <c r="DR75" s="66">
        <f t="shared" si="61"/>
        <v>0</v>
      </c>
      <c r="DS75" s="66">
        <f t="shared" si="54"/>
        <v>0</v>
      </c>
      <c r="DT75" s="66">
        <f t="shared" si="50"/>
        <v>0</v>
      </c>
      <c r="DU75" s="66">
        <f t="shared" si="50"/>
        <v>0</v>
      </c>
      <c r="DV75" s="66">
        <f t="shared" si="50"/>
        <v>0</v>
      </c>
      <c r="DW75" s="66">
        <f t="shared" si="50"/>
        <v>0</v>
      </c>
      <c r="DX75" s="66">
        <f t="shared" si="50"/>
        <v>0</v>
      </c>
      <c r="DY75" s="66"/>
      <c r="DZ75" s="66">
        <f t="shared" si="51"/>
        <v>0</v>
      </c>
      <c r="EC75" s="170">
        <v>0</v>
      </c>
      <c r="ED75" s="169">
        <v>0</v>
      </c>
      <c r="EE75" s="171" t="e">
        <f t="shared" si="52"/>
        <v>#DIV/0!</v>
      </c>
    </row>
    <row r="76" spans="1:135" ht="28.8" hidden="1" customHeight="1" x14ac:dyDescent="0.3">
      <c r="A76" s="207"/>
      <c r="B76" s="237" t="s">
        <v>197</v>
      </c>
      <c r="C76" s="121" t="s">
        <v>196</v>
      </c>
      <c r="D76" s="69" t="s">
        <v>195</v>
      </c>
      <c r="E76" s="124">
        <v>410</v>
      </c>
      <c r="F76" s="67" t="s">
        <v>194</v>
      </c>
      <c r="G76" s="66">
        <f t="shared" si="39"/>
        <v>157000000</v>
      </c>
      <c r="H76" s="66"/>
      <c r="I76" s="66"/>
      <c r="J76" s="66"/>
      <c r="K76" s="66"/>
      <c r="L76" s="66"/>
      <c r="M76" s="66"/>
      <c r="N76" s="35"/>
      <c r="O76" s="66">
        <f>32000000+15000000</f>
        <v>47000000</v>
      </c>
      <c r="P76" s="35"/>
      <c r="Q76" s="35"/>
      <c r="R76" s="66"/>
      <c r="S76" s="66">
        <f>20000000</f>
        <v>20000000</v>
      </c>
      <c r="T76" s="66"/>
      <c r="U76" s="66"/>
      <c r="V76" s="66"/>
      <c r="W76" s="66"/>
      <c r="X76" s="66"/>
      <c r="Y76" s="66"/>
      <c r="Z76" s="66">
        <f>50000000+15000000</f>
        <v>65000000</v>
      </c>
      <c r="AA76" s="66"/>
      <c r="AB76" s="66"/>
      <c r="AC76" s="66"/>
      <c r="AD76" s="66">
        <f>25000000</f>
        <v>25000000</v>
      </c>
      <c r="AE76" s="22">
        <f t="shared" si="29"/>
        <v>0.76884001910828026</v>
      </c>
      <c r="AF76" s="66">
        <f t="shared" si="40"/>
        <v>120707883</v>
      </c>
      <c r="AG76" s="66"/>
      <c r="AH76" s="66"/>
      <c r="AI76" s="66"/>
      <c r="AJ76" s="66"/>
      <c r="AK76" s="66"/>
      <c r="AL76" s="66"/>
      <c r="AM76" s="66"/>
      <c r="AN76" s="66">
        <f>+'[1]OCTUBRE 2019'!$Q$3039</f>
        <v>44360267</v>
      </c>
      <c r="AO76" s="66"/>
      <c r="AP76" s="66"/>
      <c r="AQ76" s="66"/>
      <c r="AR76" s="66">
        <f>+'[1]OCTUBRE 2019'!$U$3039</f>
        <v>14593333</v>
      </c>
      <c r="AS76" s="66"/>
      <c r="AT76" s="66"/>
      <c r="AU76" s="66"/>
      <c r="AV76" s="66"/>
      <c r="AW76" s="66"/>
      <c r="AX76" s="66"/>
      <c r="AY76" s="66">
        <f>+'[1]OCTUBRE 2019'!$AB$3039</f>
        <v>61754283</v>
      </c>
      <c r="AZ76" s="66"/>
      <c r="BA76" s="66"/>
      <c r="BB76" s="66"/>
      <c r="BC76" s="66"/>
      <c r="BD76" s="22">
        <f t="shared" si="57"/>
        <v>0.23115998089171974</v>
      </c>
      <c r="BE76" s="66">
        <f t="shared" si="41"/>
        <v>36292117</v>
      </c>
      <c r="BF76" s="66">
        <f t="shared" si="42"/>
        <v>0</v>
      </c>
      <c r="BG76" s="66">
        <f t="shared" si="42"/>
        <v>0</v>
      </c>
      <c r="BH76" s="66">
        <f t="shared" si="42"/>
        <v>0</v>
      </c>
      <c r="BI76" s="66">
        <f t="shared" si="43"/>
        <v>0</v>
      </c>
      <c r="BJ76" s="66">
        <f t="shared" si="60"/>
        <v>0</v>
      </c>
      <c r="BK76" s="66">
        <f t="shared" si="60"/>
        <v>0</v>
      </c>
      <c r="BL76" s="66">
        <f t="shared" si="60"/>
        <v>0</v>
      </c>
      <c r="BM76" s="66">
        <f t="shared" si="60"/>
        <v>2639733</v>
      </c>
      <c r="BN76" s="66">
        <f t="shared" si="60"/>
        <v>0</v>
      </c>
      <c r="BO76" s="66">
        <f t="shared" si="60"/>
        <v>0</v>
      </c>
      <c r="BP76" s="66">
        <f t="shared" si="60"/>
        <v>0</v>
      </c>
      <c r="BQ76" s="66">
        <f t="shared" si="60"/>
        <v>5406667</v>
      </c>
      <c r="BR76" s="66">
        <f t="shared" si="60"/>
        <v>0</v>
      </c>
      <c r="BS76" s="66">
        <f t="shared" si="60"/>
        <v>0</v>
      </c>
      <c r="BT76" s="66">
        <f t="shared" si="60"/>
        <v>0</v>
      </c>
      <c r="BU76" s="66">
        <f t="shared" si="60"/>
        <v>0</v>
      </c>
      <c r="BV76" s="66">
        <f t="shared" si="60"/>
        <v>0</v>
      </c>
      <c r="BW76" s="66">
        <f t="shared" si="60"/>
        <v>0</v>
      </c>
      <c r="BX76" s="66">
        <f t="shared" si="60"/>
        <v>3245717</v>
      </c>
      <c r="BY76" s="66">
        <f t="shared" si="53"/>
        <v>0</v>
      </c>
      <c r="BZ76" s="66">
        <f t="shared" si="45"/>
        <v>0</v>
      </c>
      <c r="CA76" s="66"/>
      <c r="CB76" s="66">
        <f t="shared" si="46"/>
        <v>25000000</v>
      </c>
      <c r="CC76" s="22">
        <f t="shared" si="58"/>
        <v>0.58885587261146499</v>
      </c>
      <c r="CD76" s="66">
        <f t="shared" si="47"/>
        <v>92450372</v>
      </c>
      <c r="CE76" s="66"/>
      <c r="CF76" s="66"/>
      <c r="CG76" s="66"/>
      <c r="CH76" s="66"/>
      <c r="CI76" s="66"/>
      <c r="CJ76" s="66"/>
      <c r="CK76" s="66"/>
      <c r="CL76" s="66">
        <f>+'[1]OCTUBRE 2019'!$H$3046+'[1]OCTUBRE 2019'!$H$3054+'[1]OCTUBRE 2019'!$H$3064+'[1]OCTUBRE 2019'!$H$3065</f>
        <v>22222765</v>
      </c>
      <c r="CM76" s="66"/>
      <c r="CN76" s="66"/>
      <c r="CO76" s="66"/>
      <c r="CP76" s="66">
        <f>+'[1]OCTUBRE 2019'!$H$3044+'[1]OCTUBRE 2019'!$H$3057</f>
        <v>9473324</v>
      </c>
      <c r="CQ76" s="66"/>
      <c r="CR76" s="66"/>
      <c r="CS76" s="66"/>
      <c r="CT76" s="66"/>
      <c r="CU76" s="66"/>
      <c r="CV76" s="66"/>
      <c r="CW76" s="66">
        <f>+'[1]OCTUBRE 2019'!$H$3037-CP76-CL76</f>
        <v>60754283</v>
      </c>
      <c r="CX76" s="66"/>
      <c r="CY76" s="66"/>
      <c r="CZ76" s="66"/>
      <c r="DA76" s="66"/>
      <c r="DB76" s="22">
        <f t="shared" si="59"/>
        <v>0.41114412738853501</v>
      </c>
      <c r="DC76" s="66">
        <f t="shared" si="48"/>
        <v>64549628</v>
      </c>
      <c r="DD76" s="66">
        <f t="shared" si="61"/>
        <v>0</v>
      </c>
      <c r="DE76" s="66">
        <f t="shared" si="61"/>
        <v>0</v>
      </c>
      <c r="DF76" s="66">
        <f t="shared" si="61"/>
        <v>0</v>
      </c>
      <c r="DG76" s="66">
        <f t="shared" si="61"/>
        <v>0</v>
      </c>
      <c r="DH76" s="66">
        <f t="shared" si="61"/>
        <v>0</v>
      </c>
      <c r="DI76" s="66">
        <f t="shared" si="61"/>
        <v>0</v>
      </c>
      <c r="DJ76" s="66">
        <f t="shared" si="61"/>
        <v>0</v>
      </c>
      <c r="DK76" s="66">
        <f t="shared" si="61"/>
        <v>24777235</v>
      </c>
      <c r="DL76" s="66">
        <f t="shared" si="61"/>
        <v>0</v>
      </c>
      <c r="DM76" s="66">
        <f t="shared" si="61"/>
        <v>0</v>
      </c>
      <c r="DN76" s="66">
        <f t="shared" si="61"/>
        <v>0</v>
      </c>
      <c r="DO76" s="66">
        <f t="shared" si="61"/>
        <v>10526676</v>
      </c>
      <c r="DP76" s="66">
        <f t="shared" si="61"/>
        <v>0</v>
      </c>
      <c r="DQ76" s="66">
        <f t="shared" si="61"/>
        <v>0</v>
      </c>
      <c r="DR76" s="66">
        <f t="shared" si="61"/>
        <v>0</v>
      </c>
      <c r="DS76" s="66">
        <f t="shared" si="54"/>
        <v>0</v>
      </c>
      <c r="DT76" s="66">
        <f t="shared" si="50"/>
        <v>0</v>
      </c>
      <c r="DU76" s="66">
        <f t="shared" si="50"/>
        <v>0</v>
      </c>
      <c r="DV76" s="66">
        <f t="shared" si="50"/>
        <v>4245717</v>
      </c>
      <c r="DW76" s="66">
        <f t="shared" si="50"/>
        <v>0</v>
      </c>
      <c r="DX76" s="66">
        <f t="shared" si="50"/>
        <v>0</v>
      </c>
      <c r="DY76" s="66"/>
      <c r="DZ76" s="66">
        <f t="shared" si="51"/>
        <v>25000000</v>
      </c>
      <c r="EA76" s="59"/>
      <c r="EC76" s="170">
        <v>157000000</v>
      </c>
      <c r="ED76" s="169">
        <v>92450372</v>
      </c>
      <c r="EE76" s="171">
        <f t="shared" si="52"/>
        <v>0.58885587261146499</v>
      </c>
    </row>
    <row r="77" spans="1:135" ht="42" hidden="1" customHeight="1" x14ac:dyDescent="0.3">
      <c r="A77" s="207"/>
      <c r="B77" s="237"/>
      <c r="C77" s="121" t="s">
        <v>193</v>
      </c>
      <c r="D77" s="69" t="s">
        <v>192</v>
      </c>
      <c r="E77" s="124">
        <v>410</v>
      </c>
      <c r="F77" s="67" t="s">
        <v>127</v>
      </c>
      <c r="G77" s="66">
        <f t="shared" si="39"/>
        <v>10000000</v>
      </c>
      <c r="H77" s="66"/>
      <c r="I77" s="66"/>
      <c r="J77" s="66"/>
      <c r="K77" s="66"/>
      <c r="L77" s="66"/>
      <c r="M77" s="66"/>
      <c r="N77" s="35"/>
      <c r="O77" s="66"/>
      <c r="P77" s="35"/>
      <c r="Q77" s="35"/>
      <c r="R77" s="66"/>
      <c r="S77" s="66"/>
      <c r="T77" s="66"/>
      <c r="U77" s="66"/>
      <c r="V77" s="66"/>
      <c r="W77" s="66"/>
      <c r="X77" s="66"/>
      <c r="Y77" s="66"/>
      <c r="Z77" s="66">
        <v>10000000</v>
      </c>
      <c r="AA77" s="66"/>
      <c r="AB77" s="66"/>
      <c r="AC77" s="66"/>
      <c r="AD77" s="66"/>
      <c r="AE77" s="22">
        <f t="shared" si="29"/>
        <v>0</v>
      </c>
      <c r="AF77" s="66">
        <f t="shared" si="40"/>
        <v>0</v>
      </c>
      <c r="AG77" s="66"/>
      <c r="AH77" s="66"/>
      <c r="AI77" s="66"/>
      <c r="AJ77" s="66"/>
      <c r="AK77" s="66"/>
      <c r="AL77" s="66"/>
      <c r="AM77" s="66"/>
      <c r="AN77" s="66"/>
      <c r="AO77" s="66"/>
      <c r="AP77" s="66"/>
      <c r="AQ77" s="66"/>
      <c r="AR77" s="66"/>
      <c r="AS77" s="66"/>
      <c r="AT77" s="66"/>
      <c r="AU77" s="66"/>
      <c r="AV77" s="66"/>
      <c r="AW77" s="66"/>
      <c r="AX77" s="66"/>
      <c r="AY77" s="66"/>
      <c r="AZ77" s="66"/>
      <c r="BA77" s="66"/>
      <c r="BB77" s="66"/>
      <c r="BC77" s="66"/>
      <c r="BD77" s="22">
        <f t="shared" si="57"/>
        <v>1</v>
      </c>
      <c r="BE77" s="66">
        <f t="shared" si="41"/>
        <v>10000000</v>
      </c>
      <c r="BF77" s="66">
        <f t="shared" si="42"/>
        <v>0</v>
      </c>
      <c r="BG77" s="66">
        <f t="shared" si="42"/>
        <v>0</v>
      </c>
      <c r="BH77" s="66">
        <f t="shared" si="42"/>
        <v>0</v>
      </c>
      <c r="BI77" s="66">
        <f t="shared" si="43"/>
        <v>0</v>
      </c>
      <c r="BJ77" s="66">
        <f t="shared" si="60"/>
        <v>0</v>
      </c>
      <c r="BK77" s="66">
        <f t="shared" si="60"/>
        <v>0</v>
      </c>
      <c r="BL77" s="66">
        <f t="shared" si="60"/>
        <v>0</v>
      </c>
      <c r="BM77" s="66">
        <f t="shared" si="60"/>
        <v>0</v>
      </c>
      <c r="BN77" s="66">
        <f t="shared" si="60"/>
        <v>0</v>
      </c>
      <c r="BO77" s="66">
        <f t="shared" si="60"/>
        <v>0</v>
      </c>
      <c r="BP77" s="66">
        <f t="shared" si="60"/>
        <v>0</v>
      </c>
      <c r="BQ77" s="66">
        <f t="shared" si="60"/>
        <v>0</v>
      </c>
      <c r="BR77" s="66">
        <f t="shared" si="60"/>
        <v>0</v>
      </c>
      <c r="BS77" s="66">
        <f t="shared" si="60"/>
        <v>0</v>
      </c>
      <c r="BT77" s="66">
        <f t="shared" si="60"/>
        <v>0</v>
      </c>
      <c r="BU77" s="66">
        <f t="shared" si="60"/>
        <v>0</v>
      </c>
      <c r="BV77" s="66">
        <f t="shared" si="60"/>
        <v>0</v>
      </c>
      <c r="BW77" s="66">
        <f t="shared" si="60"/>
        <v>0</v>
      </c>
      <c r="BX77" s="66">
        <f t="shared" si="60"/>
        <v>10000000</v>
      </c>
      <c r="BY77" s="66">
        <f t="shared" si="53"/>
        <v>0</v>
      </c>
      <c r="BZ77" s="66">
        <f t="shared" si="45"/>
        <v>0</v>
      </c>
      <c r="CA77" s="66"/>
      <c r="CB77" s="66">
        <f t="shared" si="46"/>
        <v>0</v>
      </c>
      <c r="CC77" s="22">
        <f t="shared" si="58"/>
        <v>0</v>
      </c>
      <c r="CD77" s="66">
        <f t="shared" si="47"/>
        <v>0</v>
      </c>
      <c r="CE77" s="66"/>
      <c r="CF77" s="66"/>
      <c r="CG77" s="66"/>
      <c r="CH77" s="66"/>
      <c r="CI77" s="66"/>
      <c r="CJ77" s="66"/>
      <c r="CK77" s="66"/>
      <c r="CL77" s="66"/>
      <c r="CM77" s="66"/>
      <c r="CN77" s="66"/>
      <c r="CO77" s="66"/>
      <c r="CP77" s="66"/>
      <c r="CQ77" s="66"/>
      <c r="CR77" s="66"/>
      <c r="CS77" s="66"/>
      <c r="CT77" s="66"/>
      <c r="CU77" s="66"/>
      <c r="CV77" s="66"/>
      <c r="CW77" s="66"/>
      <c r="CX77" s="66"/>
      <c r="CY77" s="66"/>
      <c r="CZ77" s="66"/>
      <c r="DA77" s="66"/>
      <c r="DB77" s="22">
        <f t="shared" si="59"/>
        <v>1</v>
      </c>
      <c r="DC77" s="66">
        <f t="shared" si="48"/>
        <v>10000000</v>
      </c>
      <c r="DD77" s="66">
        <f t="shared" si="61"/>
        <v>0</v>
      </c>
      <c r="DE77" s="66">
        <f t="shared" si="61"/>
        <v>0</v>
      </c>
      <c r="DF77" s="66">
        <f t="shared" si="61"/>
        <v>0</v>
      </c>
      <c r="DG77" s="66">
        <f t="shared" si="61"/>
        <v>0</v>
      </c>
      <c r="DH77" s="66">
        <f t="shared" si="61"/>
        <v>0</v>
      </c>
      <c r="DI77" s="66">
        <f t="shared" si="61"/>
        <v>0</v>
      </c>
      <c r="DJ77" s="66">
        <f t="shared" si="61"/>
        <v>0</v>
      </c>
      <c r="DK77" s="66">
        <f t="shared" si="61"/>
        <v>0</v>
      </c>
      <c r="DL77" s="66">
        <f t="shared" si="61"/>
        <v>0</v>
      </c>
      <c r="DM77" s="66">
        <f t="shared" si="61"/>
        <v>0</v>
      </c>
      <c r="DN77" s="66">
        <f t="shared" si="61"/>
        <v>0</v>
      </c>
      <c r="DO77" s="66">
        <f t="shared" si="61"/>
        <v>0</v>
      </c>
      <c r="DP77" s="66">
        <f t="shared" si="61"/>
        <v>0</v>
      </c>
      <c r="DQ77" s="66">
        <f t="shared" si="61"/>
        <v>0</v>
      </c>
      <c r="DR77" s="66">
        <f t="shared" si="61"/>
        <v>0</v>
      </c>
      <c r="DS77" s="66">
        <f t="shared" si="54"/>
        <v>0</v>
      </c>
      <c r="DT77" s="66">
        <f t="shared" si="50"/>
        <v>0</v>
      </c>
      <c r="DU77" s="66">
        <f t="shared" si="50"/>
        <v>0</v>
      </c>
      <c r="DV77" s="66">
        <f t="shared" si="50"/>
        <v>10000000</v>
      </c>
      <c r="DW77" s="66">
        <f t="shared" si="50"/>
        <v>0</v>
      </c>
      <c r="DX77" s="66">
        <f t="shared" si="50"/>
        <v>0</v>
      </c>
      <c r="DY77" s="66"/>
      <c r="DZ77" s="66">
        <f t="shared" si="51"/>
        <v>0</v>
      </c>
      <c r="EA77" s="59"/>
      <c r="EC77" s="170">
        <v>10000000</v>
      </c>
      <c r="ED77" s="169">
        <v>0</v>
      </c>
      <c r="EE77" s="171">
        <f t="shared" si="52"/>
        <v>0</v>
      </c>
    </row>
    <row r="78" spans="1:135" ht="54" hidden="1" customHeight="1" x14ac:dyDescent="0.3">
      <c r="A78" s="207"/>
      <c r="B78" s="123" t="s">
        <v>191</v>
      </c>
      <c r="C78" s="121" t="s">
        <v>190</v>
      </c>
      <c r="D78" s="69" t="s">
        <v>189</v>
      </c>
      <c r="E78" s="124">
        <v>410</v>
      </c>
      <c r="F78" s="67" t="s">
        <v>188</v>
      </c>
      <c r="G78" s="66">
        <f t="shared" si="39"/>
        <v>236982598</v>
      </c>
      <c r="H78" s="66"/>
      <c r="I78" s="66"/>
      <c r="J78" s="66"/>
      <c r="K78" s="66"/>
      <c r="L78" s="66"/>
      <c r="M78" s="66"/>
      <c r="N78" s="35"/>
      <c r="O78" s="66">
        <f>50000000+50000000</f>
        <v>100000000</v>
      </c>
      <c r="P78" s="35"/>
      <c r="Q78" s="35"/>
      <c r="R78" s="66"/>
      <c r="S78" s="66"/>
      <c r="T78" s="66"/>
      <c r="U78" s="66"/>
      <c r="V78" s="66"/>
      <c r="W78" s="66"/>
      <c r="X78" s="66"/>
      <c r="Y78" s="66"/>
      <c r="Z78" s="66">
        <f>30000000+30000000</f>
        <v>60000000</v>
      </c>
      <c r="AA78" s="66"/>
      <c r="AB78" s="66"/>
      <c r="AC78" s="66"/>
      <c r="AD78" s="66">
        <f>50982598+4000000+18000000+4000000</f>
        <v>76982598</v>
      </c>
      <c r="AE78" s="22">
        <f t="shared" si="29"/>
        <v>0.79939225748550535</v>
      </c>
      <c r="AF78" s="66">
        <f t="shared" si="40"/>
        <v>189442054</v>
      </c>
      <c r="AG78" s="66"/>
      <c r="AH78" s="66"/>
      <c r="AI78" s="66"/>
      <c r="AJ78" s="66"/>
      <c r="AK78" s="66"/>
      <c r="AL78" s="66"/>
      <c r="AM78" s="66"/>
      <c r="AN78" s="66">
        <f>+'[1]OCTUBRE 2019'!$Q$3085</f>
        <v>88632141</v>
      </c>
      <c r="AO78" s="66"/>
      <c r="AP78" s="66"/>
      <c r="AQ78" s="66"/>
      <c r="AR78" s="66"/>
      <c r="AS78" s="66"/>
      <c r="AT78" s="66"/>
      <c r="AU78" s="66"/>
      <c r="AV78" s="66"/>
      <c r="AW78" s="66"/>
      <c r="AX78" s="66"/>
      <c r="AY78" s="66">
        <f>+'[1]OCTUBRE 2019'!$AB$3085</f>
        <v>33087315</v>
      </c>
      <c r="AZ78" s="66"/>
      <c r="BA78" s="66"/>
      <c r="BB78" s="66"/>
      <c r="BC78" s="66">
        <f>+'[1]OCTUBRE 2019'!$AG$3085</f>
        <v>67722598</v>
      </c>
      <c r="BD78" s="22">
        <f t="shared" si="57"/>
        <v>0.20060774251449465</v>
      </c>
      <c r="BE78" s="66">
        <f t="shared" si="41"/>
        <v>47540544</v>
      </c>
      <c r="BF78" s="66">
        <f t="shared" si="42"/>
        <v>0</v>
      </c>
      <c r="BG78" s="66">
        <f t="shared" si="42"/>
        <v>0</v>
      </c>
      <c r="BH78" s="66">
        <f t="shared" si="42"/>
        <v>0</v>
      </c>
      <c r="BI78" s="66">
        <f t="shared" si="43"/>
        <v>0</v>
      </c>
      <c r="BJ78" s="66">
        <f t="shared" si="60"/>
        <v>0</v>
      </c>
      <c r="BK78" s="66">
        <f t="shared" si="60"/>
        <v>0</v>
      </c>
      <c r="BL78" s="66">
        <f t="shared" si="60"/>
        <v>0</v>
      </c>
      <c r="BM78" s="66">
        <f t="shared" si="60"/>
        <v>11367859</v>
      </c>
      <c r="BN78" s="66">
        <f t="shared" si="60"/>
        <v>0</v>
      </c>
      <c r="BO78" s="66">
        <f t="shared" si="60"/>
        <v>0</v>
      </c>
      <c r="BP78" s="66">
        <f t="shared" si="60"/>
        <v>0</v>
      </c>
      <c r="BQ78" s="66">
        <f t="shared" si="60"/>
        <v>0</v>
      </c>
      <c r="BR78" s="66">
        <f t="shared" si="60"/>
        <v>0</v>
      </c>
      <c r="BS78" s="66">
        <f t="shared" si="60"/>
        <v>0</v>
      </c>
      <c r="BT78" s="66">
        <f t="shared" si="60"/>
        <v>0</v>
      </c>
      <c r="BU78" s="66">
        <f t="shared" si="60"/>
        <v>0</v>
      </c>
      <c r="BV78" s="66">
        <f t="shared" si="60"/>
        <v>0</v>
      </c>
      <c r="BW78" s="66">
        <f t="shared" si="60"/>
        <v>0</v>
      </c>
      <c r="BX78" s="66">
        <f t="shared" si="60"/>
        <v>26912685</v>
      </c>
      <c r="BY78" s="66">
        <f t="shared" si="53"/>
        <v>0</v>
      </c>
      <c r="BZ78" s="66">
        <f t="shared" si="45"/>
        <v>0</v>
      </c>
      <c r="CA78" s="66"/>
      <c r="CB78" s="66">
        <f t="shared" si="46"/>
        <v>9260000</v>
      </c>
      <c r="CC78" s="22">
        <f t="shared" si="58"/>
        <v>0.71837883218750098</v>
      </c>
      <c r="CD78" s="66">
        <f t="shared" si="47"/>
        <v>170243282</v>
      </c>
      <c r="CE78" s="66"/>
      <c r="CF78" s="66"/>
      <c r="CG78" s="66"/>
      <c r="CH78" s="66"/>
      <c r="CI78" s="66"/>
      <c r="CJ78" s="66"/>
      <c r="CK78" s="66"/>
      <c r="CL78" s="66">
        <f>+'[1]OCTUBRE 2019'!$H$3083-CW78-DA78</f>
        <v>88101028</v>
      </c>
      <c r="CM78" s="66"/>
      <c r="CN78" s="66"/>
      <c r="CO78" s="66"/>
      <c r="CP78" s="66"/>
      <c r="CQ78" s="66"/>
      <c r="CR78" s="66"/>
      <c r="CS78" s="66"/>
      <c r="CT78" s="66"/>
      <c r="CU78" s="66"/>
      <c r="CV78" s="66"/>
      <c r="CW78" s="66">
        <f>+'[1]OCTUBRE 2019'!$H$3093+'[1]OCTUBRE 2019'!$H$3096+'[1]OCTUBRE 2019'!$H$3098+'[1]OCTUBRE 2019'!$H$3102+'[1]OCTUBRE 2019'!$H$3149+'[1]OCTUBRE 2019'!$H$3154+'[1]OCTUBRE 2019'!$H$3158</f>
        <v>32486726</v>
      </c>
      <c r="CX78" s="66"/>
      <c r="CY78" s="66"/>
      <c r="CZ78" s="66"/>
      <c r="DA78" s="66">
        <f>+'[1]OCTUBRE 2019'!$H$3086+'[1]OCTUBRE 2019'!$H$3091+'[1]OCTUBRE 2019'!$H$3107+'[1]OCTUBRE 2019'!$H$3122+'[1]OCTUBRE 2019'!$H$3126+'[1]OCTUBRE 2019'!$H$3130+'[1]OCTUBRE 2019'!$H$3132+'[1]OCTUBRE 2019'!$H$3159+'[1]OCTUBRE 2019'!$H$3165</f>
        <v>49655528</v>
      </c>
      <c r="DB78" s="22">
        <f t="shared" si="59"/>
        <v>0.28162116781249902</v>
      </c>
      <c r="DC78" s="66">
        <f t="shared" si="48"/>
        <v>66739316</v>
      </c>
      <c r="DD78" s="66">
        <f t="shared" si="61"/>
        <v>0</v>
      </c>
      <c r="DE78" s="66">
        <f t="shared" si="61"/>
        <v>0</v>
      </c>
      <c r="DF78" s="66">
        <f t="shared" si="61"/>
        <v>0</v>
      </c>
      <c r="DG78" s="66">
        <f t="shared" si="61"/>
        <v>0</v>
      </c>
      <c r="DH78" s="66">
        <f t="shared" si="61"/>
        <v>0</v>
      </c>
      <c r="DI78" s="66">
        <f t="shared" si="61"/>
        <v>0</v>
      </c>
      <c r="DJ78" s="66">
        <f t="shared" si="61"/>
        <v>0</v>
      </c>
      <c r="DK78" s="66">
        <f t="shared" si="61"/>
        <v>11898972</v>
      </c>
      <c r="DL78" s="66">
        <f t="shared" si="61"/>
        <v>0</v>
      </c>
      <c r="DM78" s="66">
        <f t="shared" si="61"/>
        <v>0</v>
      </c>
      <c r="DN78" s="66">
        <f t="shared" si="61"/>
        <v>0</v>
      </c>
      <c r="DO78" s="66">
        <f t="shared" si="61"/>
        <v>0</v>
      </c>
      <c r="DP78" s="66">
        <f t="shared" si="61"/>
        <v>0</v>
      </c>
      <c r="DQ78" s="66">
        <f t="shared" si="61"/>
        <v>0</v>
      </c>
      <c r="DR78" s="66">
        <f t="shared" si="61"/>
        <v>0</v>
      </c>
      <c r="DS78" s="66">
        <f t="shared" si="54"/>
        <v>0</v>
      </c>
      <c r="DT78" s="66">
        <f t="shared" si="50"/>
        <v>0</v>
      </c>
      <c r="DU78" s="66">
        <f t="shared" si="50"/>
        <v>0</v>
      </c>
      <c r="DV78" s="66">
        <f t="shared" si="50"/>
        <v>27513274</v>
      </c>
      <c r="DW78" s="66">
        <f t="shared" si="50"/>
        <v>0</v>
      </c>
      <c r="DX78" s="66">
        <f t="shared" si="50"/>
        <v>0</v>
      </c>
      <c r="DY78" s="66"/>
      <c r="DZ78" s="66">
        <f t="shared" si="51"/>
        <v>27327070</v>
      </c>
      <c r="EA78" s="59"/>
      <c r="EC78" s="170">
        <v>236982598</v>
      </c>
      <c r="ED78" s="169">
        <v>170243282</v>
      </c>
      <c r="EE78" s="171">
        <f t="shared" si="52"/>
        <v>0.71837883218750098</v>
      </c>
    </row>
    <row r="79" spans="1:135" ht="28.8" hidden="1" customHeight="1" x14ac:dyDescent="0.3">
      <c r="A79" s="207"/>
      <c r="B79" s="123"/>
      <c r="C79" s="121" t="s">
        <v>187</v>
      </c>
      <c r="D79" s="69" t="s">
        <v>186</v>
      </c>
      <c r="E79" s="124">
        <v>410</v>
      </c>
      <c r="F79" s="67" t="s">
        <v>161</v>
      </c>
      <c r="G79" s="66">
        <f t="shared" si="39"/>
        <v>5000000</v>
      </c>
      <c r="H79" s="66"/>
      <c r="I79" s="66"/>
      <c r="J79" s="66"/>
      <c r="K79" s="66"/>
      <c r="L79" s="66"/>
      <c r="M79" s="66"/>
      <c r="N79" s="35"/>
      <c r="O79" s="66">
        <f>50000000-50000000</f>
        <v>0</v>
      </c>
      <c r="P79" s="35"/>
      <c r="Q79" s="35"/>
      <c r="R79" s="66"/>
      <c r="S79" s="66"/>
      <c r="T79" s="66"/>
      <c r="U79" s="66"/>
      <c r="V79" s="66"/>
      <c r="W79" s="66"/>
      <c r="X79" s="66"/>
      <c r="Y79" s="66"/>
      <c r="Z79" s="66">
        <f>30000000-30000000</f>
        <v>0</v>
      </c>
      <c r="AA79" s="66"/>
      <c r="AB79" s="66"/>
      <c r="AC79" s="66"/>
      <c r="AD79" s="66">
        <f>5000000</f>
        <v>5000000</v>
      </c>
      <c r="AE79" s="22">
        <f t="shared" si="29"/>
        <v>0.1140084</v>
      </c>
      <c r="AF79" s="66">
        <f t="shared" si="40"/>
        <v>570042</v>
      </c>
      <c r="AG79" s="66"/>
      <c r="AH79" s="66"/>
      <c r="AI79" s="66"/>
      <c r="AJ79" s="66"/>
      <c r="AK79" s="66"/>
      <c r="AL79" s="66"/>
      <c r="AM79" s="66"/>
      <c r="AN79" s="66"/>
      <c r="AO79" s="66"/>
      <c r="AP79" s="66"/>
      <c r="AQ79" s="66"/>
      <c r="AR79" s="66"/>
      <c r="AS79" s="66"/>
      <c r="AT79" s="66"/>
      <c r="AU79" s="66"/>
      <c r="AV79" s="66"/>
      <c r="AW79" s="66"/>
      <c r="AX79" s="66"/>
      <c r="AY79" s="66"/>
      <c r="AZ79" s="66"/>
      <c r="BA79" s="66"/>
      <c r="BB79" s="66"/>
      <c r="BC79" s="66">
        <f>+'[10]ABRIL 2019'!$AF$1191</f>
        <v>570042</v>
      </c>
      <c r="BD79" s="22">
        <f t="shared" si="57"/>
        <v>0.88599159999999999</v>
      </c>
      <c r="BE79" s="66">
        <f t="shared" si="41"/>
        <v>4429958</v>
      </c>
      <c r="BF79" s="66">
        <f t="shared" si="42"/>
        <v>0</v>
      </c>
      <c r="BG79" s="66">
        <f t="shared" si="42"/>
        <v>0</v>
      </c>
      <c r="BH79" s="66">
        <f t="shared" si="42"/>
        <v>0</v>
      </c>
      <c r="BI79" s="66">
        <f t="shared" si="43"/>
        <v>0</v>
      </c>
      <c r="BJ79" s="66">
        <f t="shared" si="60"/>
        <v>0</v>
      </c>
      <c r="BK79" s="66">
        <f t="shared" si="60"/>
        <v>0</v>
      </c>
      <c r="BL79" s="66">
        <f t="shared" si="60"/>
        <v>0</v>
      </c>
      <c r="BM79" s="66">
        <f t="shared" si="60"/>
        <v>0</v>
      </c>
      <c r="BN79" s="66">
        <f t="shared" si="60"/>
        <v>0</v>
      </c>
      <c r="BO79" s="66">
        <f t="shared" si="60"/>
        <v>0</v>
      </c>
      <c r="BP79" s="66">
        <f t="shared" si="60"/>
        <v>0</v>
      </c>
      <c r="BQ79" s="66">
        <f t="shared" si="60"/>
        <v>0</v>
      </c>
      <c r="BR79" s="66">
        <f t="shared" si="60"/>
        <v>0</v>
      </c>
      <c r="BS79" s="66">
        <f t="shared" si="60"/>
        <v>0</v>
      </c>
      <c r="BT79" s="66">
        <f t="shared" si="60"/>
        <v>0</v>
      </c>
      <c r="BU79" s="66">
        <f t="shared" si="60"/>
        <v>0</v>
      </c>
      <c r="BV79" s="66">
        <f t="shared" si="60"/>
        <v>0</v>
      </c>
      <c r="BW79" s="66">
        <f t="shared" si="60"/>
        <v>0</v>
      </c>
      <c r="BX79" s="66">
        <f t="shared" si="60"/>
        <v>0</v>
      </c>
      <c r="BY79" s="66">
        <f t="shared" si="53"/>
        <v>0</v>
      </c>
      <c r="BZ79" s="66">
        <f t="shared" si="45"/>
        <v>0</v>
      </c>
      <c r="CA79" s="66"/>
      <c r="CB79" s="66">
        <f t="shared" si="46"/>
        <v>4429958</v>
      </c>
      <c r="CC79" s="22">
        <f t="shared" si="58"/>
        <v>0.1140084</v>
      </c>
      <c r="CD79" s="66">
        <f t="shared" si="47"/>
        <v>570042</v>
      </c>
      <c r="CE79" s="66"/>
      <c r="CF79" s="66"/>
      <c r="CG79" s="66"/>
      <c r="CH79" s="66"/>
      <c r="CI79" s="66"/>
      <c r="CJ79" s="66"/>
      <c r="CK79" s="66"/>
      <c r="CL79" s="66"/>
      <c r="CM79" s="66"/>
      <c r="CN79" s="66"/>
      <c r="CO79" s="66"/>
      <c r="CP79" s="66"/>
      <c r="CQ79" s="66"/>
      <c r="CR79" s="66"/>
      <c r="CS79" s="66"/>
      <c r="CT79" s="66"/>
      <c r="CU79" s="66"/>
      <c r="CV79" s="66"/>
      <c r="CW79" s="66"/>
      <c r="CX79" s="66"/>
      <c r="CY79" s="66"/>
      <c r="CZ79" s="66"/>
      <c r="DA79" s="66">
        <f>+'[10]ABRIL 2019'!$AF$1191</f>
        <v>570042</v>
      </c>
      <c r="DB79" s="22">
        <f t="shared" si="59"/>
        <v>0.88599159999999999</v>
      </c>
      <c r="DC79" s="66">
        <f t="shared" si="48"/>
        <v>4429958</v>
      </c>
      <c r="DD79" s="66">
        <f t="shared" si="61"/>
        <v>0</v>
      </c>
      <c r="DE79" s="66">
        <f t="shared" si="61"/>
        <v>0</v>
      </c>
      <c r="DF79" s="66">
        <f t="shared" si="61"/>
        <v>0</v>
      </c>
      <c r="DG79" s="66">
        <f t="shared" si="61"/>
        <v>0</v>
      </c>
      <c r="DH79" s="66">
        <f t="shared" si="61"/>
        <v>0</v>
      </c>
      <c r="DI79" s="66">
        <f t="shared" si="61"/>
        <v>0</v>
      </c>
      <c r="DJ79" s="66">
        <f t="shared" si="61"/>
        <v>0</v>
      </c>
      <c r="DK79" s="66">
        <f t="shared" si="61"/>
        <v>0</v>
      </c>
      <c r="DL79" s="66">
        <f t="shared" si="61"/>
        <v>0</v>
      </c>
      <c r="DM79" s="66">
        <f t="shared" si="61"/>
        <v>0</v>
      </c>
      <c r="DN79" s="66">
        <f t="shared" si="61"/>
        <v>0</v>
      </c>
      <c r="DO79" s="66">
        <f t="shared" si="61"/>
        <v>0</v>
      </c>
      <c r="DP79" s="66">
        <f t="shared" si="61"/>
        <v>0</v>
      </c>
      <c r="DQ79" s="66">
        <f t="shared" si="61"/>
        <v>0</v>
      </c>
      <c r="DR79" s="66">
        <f t="shared" si="61"/>
        <v>0</v>
      </c>
      <c r="DS79" s="66">
        <f t="shared" si="54"/>
        <v>0</v>
      </c>
      <c r="DT79" s="66">
        <f t="shared" si="50"/>
        <v>0</v>
      </c>
      <c r="DU79" s="66">
        <f t="shared" si="50"/>
        <v>0</v>
      </c>
      <c r="DV79" s="66">
        <f t="shared" si="50"/>
        <v>0</v>
      </c>
      <c r="DW79" s="66">
        <f t="shared" si="50"/>
        <v>0</v>
      </c>
      <c r="DX79" s="66">
        <f t="shared" si="50"/>
        <v>0</v>
      </c>
      <c r="DY79" s="66"/>
      <c r="DZ79" s="66">
        <f t="shared" si="51"/>
        <v>4429958</v>
      </c>
      <c r="EA79" s="59"/>
      <c r="EC79" s="170">
        <v>5000000</v>
      </c>
      <c r="ED79" s="169">
        <v>570042</v>
      </c>
      <c r="EE79" s="171">
        <f t="shared" si="52"/>
        <v>0.1140084</v>
      </c>
    </row>
    <row r="80" spans="1:135" ht="57.6" hidden="1" customHeight="1" x14ac:dyDescent="0.3">
      <c r="A80" s="207"/>
      <c r="B80" s="123"/>
      <c r="C80" s="121" t="s">
        <v>185</v>
      </c>
      <c r="D80" s="69" t="s">
        <v>184</v>
      </c>
      <c r="E80" s="124">
        <v>410</v>
      </c>
      <c r="F80" s="67" t="s">
        <v>161</v>
      </c>
      <c r="G80" s="66">
        <f t="shared" si="39"/>
        <v>300423391</v>
      </c>
      <c r="H80" s="66"/>
      <c r="I80" s="66"/>
      <c r="J80" s="66"/>
      <c r="K80" s="66"/>
      <c r="L80" s="66"/>
      <c r="M80" s="66"/>
      <c r="N80" s="35"/>
      <c r="O80" s="66">
        <v>50000000</v>
      </c>
      <c r="P80" s="35"/>
      <c r="Q80" s="35"/>
      <c r="R80" s="66"/>
      <c r="S80" s="66"/>
      <c r="T80" s="66"/>
      <c r="U80" s="66"/>
      <c r="V80" s="66"/>
      <c r="W80" s="66"/>
      <c r="X80" s="66"/>
      <c r="Y80" s="66"/>
      <c r="Z80" s="66">
        <f>70423391+80000000+100000000</f>
        <v>250423391</v>
      </c>
      <c r="AA80" s="66"/>
      <c r="AB80" s="66"/>
      <c r="AC80" s="66"/>
      <c r="AD80" s="66">
        <f>8000000-8000000</f>
        <v>0</v>
      </c>
      <c r="AE80" s="22">
        <f t="shared" si="29"/>
        <v>0.47305556843275232</v>
      </c>
      <c r="AF80" s="66">
        <f t="shared" si="40"/>
        <v>142116958</v>
      </c>
      <c r="AG80" s="66"/>
      <c r="AH80" s="66"/>
      <c r="AI80" s="66"/>
      <c r="AJ80" s="66"/>
      <c r="AK80" s="66"/>
      <c r="AL80" s="66"/>
      <c r="AM80" s="66"/>
      <c r="AN80" s="66">
        <f>+'[3]JULIO 2019'!$P$2109</f>
        <v>46243827</v>
      </c>
      <c r="AO80" s="66"/>
      <c r="AP80" s="66"/>
      <c r="AQ80" s="66"/>
      <c r="AR80" s="66"/>
      <c r="AS80" s="66"/>
      <c r="AT80" s="66"/>
      <c r="AU80" s="66"/>
      <c r="AV80" s="66"/>
      <c r="AW80" s="66"/>
      <c r="AX80" s="66"/>
      <c r="AY80" s="66">
        <f>+'[1]OCTUBRE 2019'!$AB$3180</f>
        <v>95873131</v>
      </c>
      <c r="AZ80" s="66"/>
      <c r="BA80" s="66"/>
      <c r="BB80" s="66"/>
      <c r="BC80" s="66"/>
      <c r="BD80" s="22">
        <f t="shared" si="57"/>
        <v>0.52694443156724768</v>
      </c>
      <c r="BE80" s="66">
        <f t="shared" si="41"/>
        <v>158306433</v>
      </c>
      <c r="BF80" s="66">
        <f t="shared" si="42"/>
        <v>0</v>
      </c>
      <c r="BG80" s="66">
        <f t="shared" si="42"/>
        <v>0</v>
      </c>
      <c r="BH80" s="66">
        <f t="shared" si="42"/>
        <v>0</v>
      </c>
      <c r="BI80" s="66">
        <f t="shared" si="43"/>
        <v>0</v>
      </c>
      <c r="BJ80" s="66">
        <f t="shared" si="60"/>
        <v>0</v>
      </c>
      <c r="BK80" s="66">
        <f t="shared" si="60"/>
        <v>0</v>
      </c>
      <c r="BL80" s="66">
        <f t="shared" si="60"/>
        <v>0</v>
      </c>
      <c r="BM80" s="66">
        <f t="shared" si="60"/>
        <v>3756173</v>
      </c>
      <c r="BN80" s="66">
        <f t="shared" si="60"/>
        <v>0</v>
      </c>
      <c r="BO80" s="66">
        <f t="shared" si="60"/>
        <v>0</v>
      </c>
      <c r="BP80" s="66">
        <f t="shared" si="60"/>
        <v>0</v>
      </c>
      <c r="BQ80" s="66">
        <f t="shared" si="60"/>
        <v>0</v>
      </c>
      <c r="BR80" s="66">
        <f t="shared" si="60"/>
        <v>0</v>
      </c>
      <c r="BS80" s="66">
        <f t="shared" si="60"/>
        <v>0</v>
      </c>
      <c r="BT80" s="66">
        <f t="shared" si="60"/>
        <v>0</v>
      </c>
      <c r="BU80" s="66">
        <f t="shared" si="60"/>
        <v>0</v>
      </c>
      <c r="BV80" s="66">
        <f t="shared" si="60"/>
        <v>0</v>
      </c>
      <c r="BW80" s="66">
        <f t="shared" si="60"/>
        <v>0</v>
      </c>
      <c r="BX80" s="66">
        <f t="shared" si="60"/>
        <v>154550260</v>
      </c>
      <c r="BY80" s="66">
        <f t="shared" si="53"/>
        <v>0</v>
      </c>
      <c r="BZ80" s="66">
        <f t="shared" si="45"/>
        <v>0</v>
      </c>
      <c r="CA80" s="66"/>
      <c r="CB80" s="66">
        <f t="shared" si="46"/>
        <v>0</v>
      </c>
      <c r="CC80" s="22">
        <f t="shared" si="58"/>
        <v>0.44983959654459793</v>
      </c>
      <c r="CD80" s="66">
        <f t="shared" si="47"/>
        <v>135142337</v>
      </c>
      <c r="CE80" s="66"/>
      <c r="CF80" s="66"/>
      <c r="CG80" s="66"/>
      <c r="CH80" s="66"/>
      <c r="CI80" s="66"/>
      <c r="CJ80" s="66"/>
      <c r="CK80" s="66"/>
      <c r="CL80" s="66">
        <f>+'[1]OCTUBRE 2019'!$I$3195+'[1]OCTUBRE 2019'!$H$3196+'[1]OCTUBRE 2019'!$H$3202+'[1]OCTUBRE 2019'!$H$3237</f>
        <v>45823827</v>
      </c>
      <c r="CM80" s="66"/>
      <c r="CN80" s="66"/>
      <c r="CO80" s="66"/>
      <c r="CP80" s="66"/>
      <c r="CQ80" s="66"/>
      <c r="CR80" s="66"/>
      <c r="CS80" s="66"/>
      <c r="CT80" s="66"/>
      <c r="CU80" s="66"/>
      <c r="CV80" s="66"/>
      <c r="CW80" s="66">
        <f>+'[1]OCTUBRE 2019'!$H$3178-CL80</f>
        <v>89318510</v>
      </c>
      <c r="CX80" s="66"/>
      <c r="CY80" s="66"/>
      <c r="CZ80" s="66"/>
      <c r="DA80" s="66"/>
      <c r="DB80" s="22">
        <f t="shared" si="59"/>
        <v>0.55016040345540207</v>
      </c>
      <c r="DC80" s="66">
        <f t="shared" si="48"/>
        <v>165281054</v>
      </c>
      <c r="DD80" s="66">
        <f t="shared" si="61"/>
        <v>0</v>
      </c>
      <c r="DE80" s="66">
        <f t="shared" si="61"/>
        <v>0</v>
      </c>
      <c r="DF80" s="66">
        <f t="shared" si="61"/>
        <v>0</v>
      </c>
      <c r="DG80" s="66">
        <f t="shared" si="61"/>
        <v>0</v>
      </c>
      <c r="DH80" s="66">
        <f t="shared" si="61"/>
        <v>0</v>
      </c>
      <c r="DI80" s="66">
        <f t="shared" si="61"/>
        <v>0</v>
      </c>
      <c r="DJ80" s="66">
        <f t="shared" si="61"/>
        <v>0</v>
      </c>
      <c r="DK80" s="66">
        <f t="shared" si="61"/>
        <v>4176173</v>
      </c>
      <c r="DL80" s="66">
        <f t="shared" si="61"/>
        <v>0</v>
      </c>
      <c r="DM80" s="66">
        <f t="shared" si="61"/>
        <v>0</v>
      </c>
      <c r="DN80" s="66">
        <f t="shared" si="61"/>
        <v>0</v>
      </c>
      <c r="DO80" s="66">
        <f t="shared" si="61"/>
        <v>0</v>
      </c>
      <c r="DP80" s="66">
        <f t="shared" si="61"/>
        <v>0</v>
      </c>
      <c r="DQ80" s="66">
        <f t="shared" si="61"/>
        <v>0</v>
      </c>
      <c r="DR80" s="66">
        <f t="shared" si="61"/>
        <v>0</v>
      </c>
      <c r="DS80" s="66">
        <f t="shared" si="54"/>
        <v>0</v>
      </c>
      <c r="DT80" s="66">
        <f t="shared" si="50"/>
        <v>0</v>
      </c>
      <c r="DU80" s="66">
        <f t="shared" si="50"/>
        <v>0</v>
      </c>
      <c r="DV80" s="66">
        <f t="shared" si="50"/>
        <v>161104881</v>
      </c>
      <c r="DW80" s="66">
        <f t="shared" si="50"/>
        <v>0</v>
      </c>
      <c r="DX80" s="66">
        <f t="shared" si="50"/>
        <v>0</v>
      </c>
      <c r="DY80" s="66"/>
      <c r="DZ80" s="66">
        <f t="shared" si="51"/>
        <v>0</v>
      </c>
      <c r="EA80" s="59"/>
      <c r="EC80" s="170">
        <v>300423391</v>
      </c>
      <c r="ED80" s="169">
        <v>135142337</v>
      </c>
      <c r="EE80" s="171">
        <f t="shared" si="52"/>
        <v>0.44983959654459793</v>
      </c>
    </row>
    <row r="81" spans="1:135" s="59" customFormat="1" ht="17.25" customHeight="1" thickTop="1" thickBot="1" x14ac:dyDescent="0.35">
      <c r="A81" s="120"/>
      <c r="B81" s="284" t="s">
        <v>183</v>
      </c>
      <c r="C81" s="285"/>
      <c r="D81" s="285"/>
      <c r="E81" s="286"/>
      <c r="F81" s="119"/>
      <c r="G81" s="61">
        <f t="shared" ref="G81:AD81" si="62">SUM(G41:G80)</f>
        <v>9091266497</v>
      </c>
      <c r="H81" s="61">
        <f t="shared" si="62"/>
        <v>0</v>
      </c>
      <c r="I81" s="61">
        <f t="shared" si="62"/>
        <v>0</v>
      </c>
      <c r="J81" s="61">
        <f t="shared" si="62"/>
        <v>0</v>
      </c>
      <c r="K81" s="61">
        <f t="shared" si="62"/>
        <v>0</v>
      </c>
      <c r="L81" s="61">
        <f t="shared" si="62"/>
        <v>0</v>
      </c>
      <c r="M81" s="61">
        <f t="shared" si="62"/>
        <v>0</v>
      </c>
      <c r="N81" s="61">
        <f t="shared" si="62"/>
        <v>0</v>
      </c>
      <c r="O81" s="61">
        <f t="shared" si="62"/>
        <v>2419061682</v>
      </c>
      <c r="P81" s="61">
        <f t="shared" si="62"/>
        <v>45960534</v>
      </c>
      <c r="Q81" s="61">
        <f t="shared" si="62"/>
        <v>45960534</v>
      </c>
      <c r="R81" s="61">
        <f t="shared" si="62"/>
        <v>85960534</v>
      </c>
      <c r="S81" s="61">
        <f t="shared" si="62"/>
        <v>797458202</v>
      </c>
      <c r="T81" s="61">
        <f t="shared" si="62"/>
        <v>30000000</v>
      </c>
      <c r="U81" s="61">
        <f t="shared" si="62"/>
        <v>60000000</v>
      </c>
      <c r="V81" s="61">
        <f t="shared" si="62"/>
        <v>20000000</v>
      </c>
      <c r="W81" s="61">
        <f t="shared" si="62"/>
        <v>3457651561</v>
      </c>
      <c r="X81" s="61">
        <f t="shared" si="62"/>
        <v>90000000</v>
      </c>
      <c r="Y81" s="61">
        <f t="shared" si="62"/>
        <v>52565530</v>
      </c>
      <c r="Z81" s="61">
        <f t="shared" si="62"/>
        <v>1116053744</v>
      </c>
      <c r="AA81" s="61">
        <f t="shared" si="62"/>
        <v>0</v>
      </c>
      <c r="AB81" s="61">
        <f t="shared" si="62"/>
        <v>453752865</v>
      </c>
      <c r="AC81" s="61">
        <f t="shared" si="62"/>
        <v>0</v>
      </c>
      <c r="AD81" s="61">
        <f t="shared" si="62"/>
        <v>416841311</v>
      </c>
      <c r="AE81" s="62">
        <f t="shared" si="29"/>
        <v>0.61692958300703082</v>
      </c>
      <c r="AF81" s="61">
        <f>SUM(AF41:AF80)</f>
        <v>5608671249</v>
      </c>
      <c r="AG81" s="61">
        <f>SUM(AG41:AG80)</f>
        <v>0</v>
      </c>
      <c r="AH81" s="61">
        <f>SUM(AH41:AH80)</f>
        <v>0</v>
      </c>
      <c r="AI81" s="61">
        <f>SUM(AI41:AI80)</f>
        <v>0</v>
      </c>
      <c r="AJ81" s="61"/>
      <c r="AK81" s="61">
        <f t="shared" ref="AK81:BC81" si="63">SUM(AK41:AK80)</f>
        <v>0</v>
      </c>
      <c r="AL81" s="61">
        <f t="shared" si="63"/>
        <v>0</v>
      </c>
      <c r="AM81" s="61">
        <f t="shared" si="63"/>
        <v>0</v>
      </c>
      <c r="AN81" s="61">
        <f t="shared" si="63"/>
        <v>1802685139</v>
      </c>
      <c r="AO81" s="61">
        <f t="shared" si="63"/>
        <v>0</v>
      </c>
      <c r="AP81" s="61">
        <f t="shared" si="63"/>
        <v>4442302</v>
      </c>
      <c r="AQ81" s="61">
        <f t="shared" si="63"/>
        <v>5005939</v>
      </c>
      <c r="AR81" s="61">
        <f t="shared" si="63"/>
        <v>688781491</v>
      </c>
      <c r="AS81" s="61">
        <f t="shared" si="63"/>
        <v>1614681</v>
      </c>
      <c r="AT81" s="61">
        <f t="shared" si="63"/>
        <v>9977239</v>
      </c>
      <c r="AU81" s="61">
        <f t="shared" si="63"/>
        <v>2592938</v>
      </c>
      <c r="AV81" s="61">
        <f t="shared" si="63"/>
        <v>1778728458</v>
      </c>
      <c r="AW81" s="61">
        <f t="shared" si="63"/>
        <v>90000000</v>
      </c>
      <c r="AX81" s="61">
        <f t="shared" si="63"/>
        <v>0</v>
      </c>
      <c r="AY81" s="61">
        <f t="shared" si="63"/>
        <v>722811855</v>
      </c>
      <c r="AZ81" s="61">
        <f t="shared" si="63"/>
        <v>0</v>
      </c>
      <c r="BA81" s="61">
        <f t="shared" si="63"/>
        <v>254320879</v>
      </c>
      <c r="BB81" s="61">
        <f t="shared" si="63"/>
        <v>0</v>
      </c>
      <c r="BC81" s="61">
        <f t="shared" si="63"/>
        <v>247710328</v>
      </c>
      <c r="BD81" s="62">
        <f t="shared" si="57"/>
        <v>0.38307041699296918</v>
      </c>
      <c r="BE81" s="61">
        <f t="shared" ref="BE81:CB81" si="64">SUM(BE41:BE80)</f>
        <v>3482595248</v>
      </c>
      <c r="BF81" s="61">
        <f t="shared" si="64"/>
        <v>0</v>
      </c>
      <c r="BG81" s="61">
        <f t="shared" si="64"/>
        <v>0</v>
      </c>
      <c r="BH81" s="61">
        <f t="shared" si="64"/>
        <v>0</v>
      </c>
      <c r="BI81" s="61">
        <f t="shared" si="64"/>
        <v>0</v>
      </c>
      <c r="BJ81" s="61">
        <f t="shared" si="64"/>
        <v>0</v>
      </c>
      <c r="BK81" s="61">
        <f t="shared" si="64"/>
        <v>0</v>
      </c>
      <c r="BL81" s="61">
        <f t="shared" si="64"/>
        <v>0</v>
      </c>
      <c r="BM81" s="61">
        <f t="shared" si="64"/>
        <v>616376543</v>
      </c>
      <c r="BN81" s="61">
        <f t="shared" si="64"/>
        <v>45960534</v>
      </c>
      <c r="BO81" s="61">
        <f t="shared" si="64"/>
        <v>41518232</v>
      </c>
      <c r="BP81" s="61">
        <f t="shared" si="64"/>
        <v>80954595</v>
      </c>
      <c r="BQ81" s="61">
        <f t="shared" si="64"/>
        <v>108676711</v>
      </c>
      <c r="BR81" s="61">
        <f t="shared" si="64"/>
        <v>28385319</v>
      </c>
      <c r="BS81" s="61">
        <f t="shared" si="64"/>
        <v>50022761</v>
      </c>
      <c r="BT81" s="61">
        <f t="shared" si="64"/>
        <v>17407062</v>
      </c>
      <c r="BU81" s="61">
        <f t="shared" si="64"/>
        <v>1678923103</v>
      </c>
      <c r="BV81" s="61">
        <f t="shared" si="64"/>
        <v>0</v>
      </c>
      <c r="BW81" s="61">
        <f t="shared" si="64"/>
        <v>52565530</v>
      </c>
      <c r="BX81" s="61">
        <f t="shared" si="64"/>
        <v>393241889</v>
      </c>
      <c r="BY81" s="61">
        <f t="shared" si="64"/>
        <v>0</v>
      </c>
      <c r="BZ81" s="61">
        <f t="shared" si="64"/>
        <v>199431986</v>
      </c>
      <c r="CA81" s="61">
        <f t="shared" si="64"/>
        <v>0</v>
      </c>
      <c r="CB81" s="61">
        <f t="shared" si="64"/>
        <v>169130983</v>
      </c>
      <c r="CC81" s="62">
        <f t="shared" si="58"/>
        <v>0.42409803367575838</v>
      </c>
      <c r="CD81" s="61">
        <f>SUM(CD41:CD80)</f>
        <v>3855588245</v>
      </c>
      <c r="CE81" s="61">
        <f>SUM(CE41:CE80)</f>
        <v>0</v>
      </c>
      <c r="CF81" s="61">
        <f>SUM(CF41:CF80)</f>
        <v>0</v>
      </c>
      <c r="CG81" s="61">
        <f>SUM(CG41:CG80)</f>
        <v>0</v>
      </c>
      <c r="CH81" s="61"/>
      <c r="CI81" s="61">
        <f t="shared" ref="CI81:DA81" si="65">SUM(CI41:CI80)</f>
        <v>0</v>
      </c>
      <c r="CJ81" s="61">
        <f t="shared" si="65"/>
        <v>0</v>
      </c>
      <c r="CK81" s="61">
        <f t="shared" si="65"/>
        <v>0</v>
      </c>
      <c r="CL81" s="61">
        <f t="shared" si="65"/>
        <v>1341255576</v>
      </c>
      <c r="CM81" s="61">
        <f t="shared" si="65"/>
        <v>0</v>
      </c>
      <c r="CN81" s="61">
        <f t="shared" si="65"/>
        <v>4442302</v>
      </c>
      <c r="CO81" s="61">
        <f t="shared" si="65"/>
        <v>4865259</v>
      </c>
      <c r="CP81" s="61">
        <f t="shared" si="65"/>
        <v>508099968</v>
      </c>
      <c r="CQ81" s="61">
        <f t="shared" si="65"/>
        <v>1614681</v>
      </c>
      <c r="CR81" s="61">
        <f t="shared" si="65"/>
        <v>9752686</v>
      </c>
      <c r="CS81" s="61">
        <f t="shared" si="65"/>
        <v>2592938</v>
      </c>
      <c r="CT81" s="61">
        <f t="shared" si="65"/>
        <v>991295154</v>
      </c>
      <c r="CU81" s="61">
        <f t="shared" si="65"/>
        <v>75578503</v>
      </c>
      <c r="CV81" s="61">
        <f t="shared" si="65"/>
        <v>0</v>
      </c>
      <c r="CW81" s="61">
        <f t="shared" si="65"/>
        <v>518088840</v>
      </c>
      <c r="CX81" s="61">
        <f t="shared" si="65"/>
        <v>0</v>
      </c>
      <c r="CY81" s="61">
        <f t="shared" si="65"/>
        <v>208651389</v>
      </c>
      <c r="CZ81" s="61">
        <f t="shared" si="65"/>
        <v>0</v>
      </c>
      <c r="DA81" s="61">
        <f t="shared" si="65"/>
        <v>189350949</v>
      </c>
      <c r="DB81" s="118">
        <f t="shared" si="59"/>
        <v>0.57590196632424162</v>
      </c>
      <c r="DC81" s="61">
        <f>SUM(DC41:DC80)</f>
        <v>5235678252</v>
      </c>
      <c r="DD81" s="61">
        <f>SUM(DD41:DD80)</f>
        <v>0</v>
      </c>
      <c r="DE81" s="61">
        <f>SUM(DE41:DE80)</f>
        <v>0</v>
      </c>
      <c r="DF81" s="61">
        <f>SUM(DF41:DF80)</f>
        <v>0</v>
      </c>
      <c r="DG81" s="61"/>
      <c r="DH81" s="61">
        <f t="shared" ref="DH81:DZ81" si="66">SUM(DH41:DH80)</f>
        <v>0</v>
      </c>
      <c r="DI81" s="61">
        <f t="shared" si="66"/>
        <v>0</v>
      </c>
      <c r="DJ81" s="61">
        <f t="shared" si="66"/>
        <v>0</v>
      </c>
      <c r="DK81" s="61">
        <f t="shared" si="66"/>
        <v>1077806106</v>
      </c>
      <c r="DL81" s="61">
        <f t="shared" si="66"/>
        <v>45960534</v>
      </c>
      <c r="DM81" s="61">
        <f t="shared" si="66"/>
        <v>41518232</v>
      </c>
      <c r="DN81" s="61">
        <f t="shared" si="66"/>
        <v>81095275</v>
      </c>
      <c r="DO81" s="61">
        <f t="shared" si="66"/>
        <v>289358234</v>
      </c>
      <c r="DP81" s="61">
        <f t="shared" si="66"/>
        <v>28385319</v>
      </c>
      <c r="DQ81" s="61">
        <f t="shared" si="66"/>
        <v>50247314</v>
      </c>
      <c r="DR81" s="61">
        <f t="shared" si="66"/>
        <v>17407062</v>
      </c>
      <c r="DS81" s="61">
        <f t="shared" si="66"/>
        <v>2466356407</v>
      </c>
      <c r="DT81" s="61">
        <f t="shared" si="66"/>
        <v>14421497</v>
      </c>
      <c r="DU81" s="61">
        <f t="shared" si="66"/>
        <v>52565530</v>
      </c>
      <c r="DV81" s="61">
        <f t="shared" si="66"/>
        <v>597964904</v>
      </c>
      <c r="DW81" s="61">
        <f t="shared" si="66"/>
        <v>0</v>
      </c>
      <c r="DX81" s="61">
        <f t="shared" si="66"/>
        <v>245101476</v>
      </c>
      <c r="DY81" s="61">
        <f t="shared" si="66"/>
        <v>0</v>
      </c>
      <c r="DZ81" s="61">
        <f t="shared" si="66"/>
        <v>227490362</v>
      </c>
      <c r="EB81" s="165" t="s">
        <v>426</v>
      </c>
      <c r="EC81" s="173">
        <v>9091266497</v>
      </c>
      <c r="ED81" s="173">
        <v>3855588245</v>
      </c>
      <c r="EE81" s="174">
        <f t="shared" si="52"/>
        <v>0.42409803367575838</v>
      </c>
    </row>
    <row r="82" spans="1:135" ht="55.8" hidden="1" customHeight="1" thickTop="1" x14ac:dyDescent="0.3">
      <c r="A82" s="217" t="s">
        <v>133</v>
      </c>
      <c r="B82" s="225" t="s">
        <v>182</v>
      </c>
      <c r="C82" s="117" t="s">
        <v>181</v>
      </c>
      <c r="D82" s="102" t="s">
        <v>180</v>
      </c>
      <c r="E82" s="116">
        <v>520</v>
      </c>
      <c r="F82" s="115" t="s">
        <v>179</v>
      </c>
      <c r="G82" s="66">
        <f t="shared" ref="G82:G104" si="67">SUM(H82:AD82)</f>
        <v>305584229</v>
      </c>
      <c r="H82" s="66"/>
      <c r="I82" s="66">
        <v>150000000</v>
      </c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  <c r="AA82" s="66"/>
      <c r="AB82" s="66"/>
      <c r="AC82" s="66"/>
      <c r="AD82" s="66">
        <f>93493921+30000000+10000000+18000000+8180737-4090429</f>
        <v>155584229</v>
      </c>
      <c r="AE82" s="114">
        <f t="shared" si="29"/>
        <v>0.77336002179615104</v>
      </c>
      <c r="AF82" s="99">
        <f t="shared" ref="AF82:AF104" si="68">SUM(AG82:BC82)</f>
        <v>236326626</v>
      </c>
      <c r="AG82" s="99"/>
      <c r="AH82" s="99">
        <f>+'[1]OCTUBRE 2019'!$K$4145</f>
        <v>110999572</v>
      </c>
      <c r="AI82" s="99"/>
      <c r="AJ82" s="99"/>
      <c r="AK82" s="99"/>
      <c r="AL82" s="99"/>
      <c r="AM82" s="99"/>
      <c r="AN82" s="99"/>
      <c r="AO82" s="99"/>
      <c r="AP82" s="99"/>
      <c r="AQ82" s="99"/>
      <c r="AR82" s="99"/>
      <c r="AS82" s="99"/>
      <c r="AT82" s="99"/>
      <c r="AU82" s="99"/>
      <c r="AV82" s="99"/>
      <c r="AW82" s="99"/>
      <c r="AX82" s="99"/>
      <c r="AY82" s="99"/>
      <c r="AZ82" s="99"/>
      <c r="BA82" s="99"/>
      <c r="BB82" s="99"/>
      <c r="BC82" s="99">
        <f>+'[1]OCTUBRE 2019'!$AG$4145</f>
        <v>125327054</v>
      </c>
      <c r="BD82" s="114">
        <f t="shared" si="57"/>
        <v>0.22663997820384896</v>
      </c>
      <c r="BE82" s="66">
        <f t="shared" ref="BE82:BE104" si="69">SUM(BF82:CB82)</f>
        <v>69257603</v>
      </c>
      <c r="BF82" s="66">
        <f t="shared" ref="BF82:BH101" si="70">H82-AG82</f>
        <v>0</v>
      </c>
      <c r="BG82" s="66">
        <f t="shared" si="70"/>
        <v>39000428</v>
      </c>
      <c r="BH82" s="66">
        <f t="shared" si="70"/>
        <v>0</v>
      </c>
      <c r="BI82" s="66">
        <f t="shared" ref="BI82:BI104" si="71">+K82-AJ82</f>
        <v>0</v>
      </c>
      <c r="BJ82" s="66">
        <f t="shared" ref="BJ82:BY97" si="72">L82-AK82</f>
        <v>0</v>
      </c>
      <c r="BK82" s="66">
        <f t="shared" si="72"/>
        <v>0</v>
      </c>
      <c r="BL82" s="66">
        <f t="shared" si="72"/>
        <v>0</v>
      </c>
      <c r="BM82" s="66">
        <f t="shared" si="72"/>
        <v>0</v>
      </c>
      <c r="BN82" s="66">
        <f t="shared" si="72"/>
        <v>0</v>
      </c>
      <c r="BO82" s="66">
        <f t="shared" si="72"/>
        <v>0</v>
      </c>
      <c r="BP82" s="66">
        <f t="shared" si="72"/>
        <v>0</v>
      </c>
      <c r="BQ82" s="66">
        <f t="shared" si="72"/>
        <v>0</v>
      </c>
      <c r="BR82" s="66">
        <f t="shared" si="72"/>
        <v>0</v>
      </c>
      <c r="BS82" s="66">
        <f t="shared" si="72"/>
        <v>0</v>
      </c>
      <c r="BT82" s="66">
        <f t="shared" si="72"/>
        <v>0</v>
      </c>
      <c r="BU82" s="66">
        <f t="shared" si="72"/>
        <v>0</v>
      </c>
      <c r="BV82" s="66">
        <f t="shared" si="72"/>
        <v>0</v>
      </c>
      <c r="BW82" s="66">
        <f t="shared" si="72"/>
        <v>0</v>
      </c>
      <c r="BX82" s="66">
        <f t="shared" si="72"/>
        <v>0</v>
      </c>
      <c r="BY82" s="66">
        <f t="shared" si="72"/>
        <v>0</v>
      </c>
      <c r="BZ82" s="66">
        <f t="shared" ref="BZ82:BZ101" si="73">AB82-BA82</f>
        <v>0</v>
      </c>
      <c r="CA82" s="66"/>
      <c r="CB82" s="66">
        <f t="shared" ref="CB82:CB101" si="74">AD82-BC82</f>
        <v>30257175</v>
      </c>
      <c r="CC82" s="114">
        <f t="shared" si="58"/>
        <v>0.66435898431132712</v>
      </c>
      <c r="CD82" s="66">
        <f t="shared" ref="CD82:CD104" si="75">SUM(CE82:DA82)</f>
        <v>203017628</v>
      </c>
      <c r="CE82" s="66"/>
      <c r="CF82" s="66">
        <f>+'[1]OCTUBRE 2019'!$H$4156+'[1]OCTUBRE 2019'!$H$4160+'[1]OCTUBRE 2019'!$H$4171+'[1]OCTUBRE 2019'!$H$4175+'[1]OCTUBRE 2019'!$H$4178+'[1]OCTUBRE 2019'!$H$4179+'[1]OCTUBRE 2019'!$H$4180+'[1]OCTUBRE 2019'!$H$4181+'[1]OCTUBRE 2019'!$H$4184+'[1]OCTUBRE 2019'!$H$4187+'[1]OCTUBRE 2019'!$H$4191+'[1]OCTUBRE 2019'!$H$4196+'[1]OCTUBRE 2019'!$H$4197+'[1]OCTUBRE 2019'!$H$4199+'[1]OCTUBRE 2019'!$H$4200+'[1]OCTUBRE 2019'!$H$4201+'[1]OCTUBRE 2019'!$H$4202+'[1]OCTUBRE 2019'!$H$4203+'[1]OCTUBRE 2019'!$H$4205+'[1]OCTUBRE 2019'!$H$4206+'[1]OCTUBRE 2019'!$H$4207+'[1]OCTUBRE 2019'!$H$4208+'[1]OCTUBRE 2019'!$H$4209+'[1]OCTUBRE 2019'!$H$4210+'[1]OCTUBRE 2019'!$H$4212+'[1]OCTUBRE 2019'!$H$4226+'[1]OCTUBRE 2019'!$H$4227+'[1]OCTUBRE 2019'!$H$4229+'[1]OCTUBRE 2019'!$H$4230+'[1]OCTUBRE 2019'!$H$4231+'[1]OCTUBRE 2019'!$H$4232+'[1]OCTUBRE 2019'!$H$4233+'[1]OCTUBRE 2019'!$H$4234+'[1]OCTUBRE 2019'!$H$4236+'[1]OCTUBRE 2019'!$H$4237+'[1]OCTUBRE 2019'!$H$4238+'[1]OCTUBRE 2019'!$H$4240+'[1]OCTUBRE 2019'!$H$4241+'[1]OCTUBRE 2019'!$H$4242+'[1]OCTUBRE 2019'!$H$4244+'[1]OCTUBRE 2019'!$H$4246+'[1]OCTUBRE 2019'!$H$4247+'[1]OCTUBRE 2019'!$H$4248+'[1]OCTUBRE 2019'!$H$4249+'[1]OCTUBRE 2019'!$H$4250+'[1]OCTUBRE 2019'!$H$4259+'[1]OCTUBRE 2019'!$H$4278+'[1]OCTUBRE 2019'!$H$4279+'[1]OCTUBRE 2019'!$H$4280+'[1]OCTUBRE 2019'!$H$4283+'[1]OCTUBRE 2019'!$H$4285+'[1]OCTUBRE 2019'!$H$4288</f>
        <v>108399572</v>
      </c>
      <c r="CG82" s="66"/>
      <c r="CH82" s="66"/>
      <c r="CI82" s="66"/>
      <c r="CJ82" s="66"/>
      <c r="CK82" s="66"/>
      <c r="CL82" s="66"/>
      <c r="CM82" s="66"/>
      <c r="CN82" s="66"/>
      <c r="CO82" s="66"/>
      <c r="CP82" s="66"/>
      <c r="CQ82" s="66"/>
      <c r="CR82" s="66"/>
      <c r="CS82" s="66"/>
      <c r="CT82" s="66"/>
      <c r="CU82" s="66"/>
      <c r="CV82" s="66"/>
      <c r="CW82" s="66"/>
      <c r="CX82" s="66"/>
      <c r="CY82" s="66"/>
      <c r="CZ82" s="66"/>
      <c r="DA82" s="66">
        <f>+'[1]OCTUBRE 2019'!$H$4143-CF82</f>
        <v>94618056</v>
      </c>
      <c r="DB82" s="22">
        <f t="shared" si="59"/>
        <v>0.33564101568867288</v>
      </c>
      <c r="DC82" s="66">
        <f t="shared" ref="DC82:DC121" si="76">SUM(DD82:DZ82)</f>
        <v>102566601</v>
      </c>
      <c r="DD82" s="66">
        <f t="shared" ref="DD82:DE104" si="77">H82-CE82</f>
        <v>0</v>
      </c>
      <c r="DE82" s="66">
        <f t="shared" si="77"/>
        <v>41600428</v>
      </c>
      <c r="DF82" s="66"/>
      <c r="DG82" s="66">
        <f t="shared" ref="DG82:DV97" si="78">K82-CH82</f>
        <v>0</v>
      </c>
      <c r="DH82" s="66">
        <f t="shared" si="78"/>
        <v>0</v>
      </c>
      <c r="DI82" s="66">
        <f t="shared" si="78"/>
        <v>0</v>
      </c>
      <c r="DJ82" s="66">
        <f t="shared" si="78"/>
        <v>0</v>
      </c>
      <c r="DK82" s="66">
        <f t="shared" si="78"/>
        <v>0</v>
      </c>
      <c r="DL82" s="66">
        <f t="shared" si="78"/>
        <v>0</v>
      </c>
      <c r="DM82" s="66">
        <f t="shared" si="78"/>
        <v>0</v>
      </c>
      <c r="DN82" s="66">
        <f t="shared" si="78"/>
        <v>0</v>
      </c>
      <c r="DO82" s="66">
        <f t="shared" si="78"/>
        <v>0</v>
      </c>
      <c r="DP82" s="66">
        <f t="shared" si="78"/>
        <v>0</v>
      </c>
      <c r="DQ82" s="66">
        <f t="shared" si="78"/>
        <v>0</v>
      </c>
      <c r="DR82" s="66">
        <f t="shared" si="78"/>
        <v>0</v>
      </c>
      <c r="DS82" s="66">
        <f t="shared" si="78"/>
        <v>0</v>
      </c>
      <c r="DT82" s="66">
        <f t="shared" si="78"/>
        <v>0</v>
      </c>
      <c r="DU82" s="66">
        <f t="shared" si="78"/>
        <v>0</v>
      </c>
      <c r="DV82" s="66">
        <f t="shared" si="78"/>
        <v>0</v>
      </c>
      <c r="DW82" s="66">
        <f t="shared" ref="DW82:DX104" si="79">AA82-CX82</f>
        <v>0</v>
      </c>
      <c r="DX82" s="66">
        <f t="shared" si="79"/>
        <v>0</v>
      </c>
      <c r="DY82" s="66"/>
      <c r="DZ82" s="66">
        <f t="shared" ref="DZ82:DZ104" si="80">AD82-DA82</f>
        <v>60966173</v>
      </c>
      <c r="EC82" s="173">
        <v>305584229</v>
      </c>
      <c r="ED82" s="173">
        <v>203017628</v>
      </c>
      <c r="EE82" s="174">
        <f t="shared" si="52"/>
        <v>0.66435898431132712</v>
      </c>
    </row>
    <row r="83" spans="1:135" ht="72.599999999999994" hidden="1" customHeight="1" x14ac:dyDescent="0.3">
      <c r="A83" s="218"/>
      <c r="B83" s="225"/>
      <c r="C83" s="101" t="s">
        <v>178</v>
      </c>
      <c r="D83" s="69" t="s">
        <v>177</v>
      </c>
      <c r="E83" s="124">
        <v>520</v>
      </c>
      <c r="F83" s="67" t="s">
        <v>127</v>
      </c>
      <c r="G83" s="66">
        <f t="shared" si="67"/>
        <v>20000000</v>
      </c>
      <c r="H83" s="66"/>
      <c r="I83" s="66">
        <v>20000000</v>
      </c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  <c r="AA83" s="66"/>
      <c r="AB83" s="66"/>
      <c r="AC83" s="66"/>
      <c r="AD83" s="66"/>
      <c r="AE83" s="22">
        <f t="shared" si="29"/>
        <v>0.50870000000000004</v>
      </c>
      <c r="AF83" s="66">
        <f t="shared" si="68"/>
        <v>10174000</v>
      </c>
      <c r="AG83" s="66"/>
      <c r="AH83" s="66">
        <f>+'[1]OCTUBRE 2019'!$K$4294</f>
        <v>10174000</v>
      </c>
      <c r="AI83" s="66"/>
      <c r="AJ83" s="66"/>
      <c r="AK83" s="66"/>
      <c r="AL83" s="66"/>
      <c r="AM83" s="66"/>
      <c r="AN83" s="66"/>
      <c r="AO83" s="66"/>
      <c r="AP83" s="66"/>
      <c r="AQ83" s="66"/>
      <c r="AR83" s="66"/>
      <c r="AS83" s="66"/>
      <c r="AT83" s="66"/>
      <c r="AU83" s="66"/>
      <c r="AV83" s="66"/>
      <c r="AW83" s="66"/>
      <c r="AX83" s="66"/>
      <c r="AY83" s="66"/>
      <c r="AZ83" s="66"/>
      <c r="BA83" s="66"/>
      <c r="BB83" s="66"/>
      <c r="BC83" s="66"/>
      <c r="BD83" s="22">
        <f t="shared" si="57"/>
        <v>0.49129999999999996</v>
      </c>
      <c r="BE83" s="66">
        <f t="shared" si="69"/>
        <v>9826000</v>
      </c>
      <c r="BF83" s="66">
        <f t="shared" si="70"/>
        <v>0</v>
      </c>
      <c r="BG83" s="66">
        <f t="shared" si="70"/>
        <v>9826000</v>
      </c>
      <c r="BH83" s="66">
        <f t="shared" si="70"/>
        <v>0</v>
      </c>
      <c r="BI83" s="66">
        <f t="shared" si="71"/>
        <v>0</v>
      </c>
      <c r="BJ83" s="66">
        <f t="shared" si="72"/>
        <v>0</v>
      </c>
      <c r="BK83" s="66">
        <f t="shared" si="72"/>
        <v>0</v>
      </c>
      <c r="BL83" s="66">
        <f t="shared" si="72"/>
        <v>0</v>
      </c>
      <c r="BM83" s="66">
        <f t="shared" si="72"/>
        <v>0</v>
      </c>
      <c r="BN83" s="66">
        <f t="shared" si="72"/>
        <v>0</v>
      </c>
      <c r="BO83" s="66">
        <f t="shared" si="72"/>
        <v>0</v>
      </c>
      <c r="BP83" s="66">
        <f t="shared" si="72"/>
        <v>0</v>
      </c>
      <c r="BQ83" s="66">
        <f t="shared" si="72"/>
        <v>0</v>
      </c>
      <c r="BR83" s="66">
        <f t="shared" si="72"/>
        <v>0</v>
      </c>
      <c r="BS83" s="66">
        <f t="shared" si="72"/>
        <v>0</v>
      </c>
      <c r="BT83" s="66">
        <f t="shared" si="72"/>
        <v>0</v>
      </c>
      <c r="BU83" s="66">
        <f t="shared" si="72"/>
        <v>0</v>
      </c>
      <c r="BV83" s="66">
        <f t="shared" si="72"/>
        <v>0</v>
      </c>
      <c r="BW83" s="66">
        <f t="shared" si="72"/>
        <v>0</v>
      </c>
      <c r="BX83" s="66">
        <f t="shared" si="72"/>
        <v>0</v>
      </c>
      <c r="BY83" s="66">
        <f t="shared" si="72"/>
        <v>0</v>
      </c>
      <c r="BZ83" s="66">
        <f t="shared" si="73"/>
        <v>0</v>
      </c>
      <c r="CA83" s="66"/>
      <c r="CB83" s="66">
        <f t="shared" si="74"/>
        <v>0</v>
      </c>
      <c r="CC83" s="22">
        <f t="shared" si="58"/>
        <v>0.41875000000000001</v>
      </c>
      <c r="CD83" s="66">
        <f t="shared" si="75"/>
        <v>8375000</v>
      </c>
      <c r="CE83" s="66"/>
      <c r="CF83" s="66">
        <f>+'[1]OCTUBRE 2019'!$H$4292</f>
        <v>8375000</v>
      </c>
      <c r="CG83" s="66"/>
      <c r="CH83" s="66"/>
      <c r="CI83" s="66"/>
      <c r="CJ83" s="66"/>
      <c r="CK83" s="66"/>
      <c r="CL83" s="66"/>
      <c r="CM83" s="66"/>
      <c r="CN83" s="66"/>
      <c r="CO83" s="66"/>
      <c r="CP83" s="66"/>
      <c r="CQ83" s="66"/>
      <c r="CR83" s="66"/>
      <c r="CS83" s="66"/>
      <c r="CT83" s="66"/>
      <c r="CU83" s="66"/>
      <c r="CV83" s="66"/>
      <c r="CW83" s="66"/>
      <c r="CX83" s="66"/>
      <c r="CY83" s="66"/>
      <c r="CZ83" s="66"/>
      <c r="DA83" s="66"/>
      <c r="DB83" s="22">
        <f t="shared" si="59"/>
        <v>0.58125000000000004</v>
      </c>
      <c r="DC83" s="66">
        <f t="shared" si="76"/>
        <v>11625000</v>
      </c>
      <c r="DD83" s="66">
        <f t="shared" si="77"/>
        <v>0</v>
      </c>
      <c r="DE83" s="66">
        <f t="shared" si="77"/>
        <v>11625000</v>
      </c>
      <c r="DF83" s="66"/>
      <c r="DG83" s="66">
        <f t="shared" si="78"/>
        <v>0</v>
      </c>
      <c r="DH83" s="66">
        <f t="shared" si="78"/>
        <v>0</v>
      </c>
      <c r="DI83" s="66">
        <f t="shared" si="78"/>
        <v>0</v>
      </c>
      <c r="DJ83" s="66">
        <f t="shared" si="78"/>
        <v>0</v>
      </c>
      <c r="DK83" s="66">
        <f t="shared" si="78"/>
        <v>0</v>
      </c>
      <c r="DL83" s="66">
        <f t="shared" si="78"/>
        <v>0</v>
      </c>
      <c r="DM83" s="66">
        <f t="shared" si="78"/>
        <v>0</v>
      </c>
      <c r="DN83" s="66">
        <f t="shared" si="78"/>
        <v>0</v>
      </c>
      <c r="DO83" s="66">
        <f t="shared" si="78"/>
        <v>0</v>
      </c>
      <c r="DP83" s="66">
        <f t="shared" si="78"/>
        <v>0</v>
      </c>
      <c r="DQ83" s="66">
        <f t="shared" si="78"/>
        <v>0</v>
      </c>
      <c r="DR83" s="66">
        <f t="shared" si="78"/>
        <v>0</v>
      </c>
      <c r="DS83" s="66">
        <f t="shared" si="78"/>
        <v>0</v>
      </c>
      <c r="DT83" s="66">
        <f t="shared" si="78"/>
        <v>0</v>
      </c>
      <c r="DU83" s="66">
        <f t="shared" si="78"/>
        <v>0</v>
      </c>
      <c r="DV83" s="66">
        <f t="shared" si="78"/>
        <v>0</v>
      </c>
      <c r="DW83" s="66">
        <f t="shared" si="79"/>
        <v>0</v>
      </c>
      <c r="DX83" s="66">
        <f t="shared" si="79"/>
        <v>0</v>
      </c>
      <c r="DY83" s="66"/>
      <c r="DZ83" s="66">
        <f t="shared" si="80"/>
        <v>0</v>
      </c>
      <c r="EC83" s="173">
        <v>20000000</v>
      </c>
      <c r="ED83" s="173">
        <v>8375000</v>
      </c>
      <c r="EE83" s="174">
        <f t="shared" si="52"/>
        <v>0.41875000000000001</v>
      </c>
    </row>
    <row r="84" spans="1:135" ht="46.2" hidden="1" customHeight="1" x14ac:dyDescent="0.3">
      <c r="A84" s="218"/>
      <c r="B84" s="213"/>
      <c r="C84" s="101" t="s">
        <v>176</v>
      </c>
      <c r="D84" s="71" t="s">
        <v>175</v>
      </c>
      <c r="E84" s="124">
        <v>520</v>
      </c>
      <c r="F84" s="67" t="s">
        <v>174</v>
      </c>
      <c r="G84" s="66">
        <f t="shared" si="67"/>
        <v>50000000</v>
      </c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>
        <v>20000000</v>
      </c>
      <c r="AA84" s="66"/>
      <c r="AB84" s="66"/>
      <c r="AC84" s="66"/>
      <c r="AD84" s="66">
        <f>24000000+4000000+2000000</f>
        <v>30000000</v>
      </c>
      <c r="AE84" s="22">
        <f t="shared" si="29"/>
        <v>0.88865665999999999</v>
      </c>
      <c r="AF84" s="66">
        <f t="shared" si="68"/>
        <v>44432833</v>
      </c>
      <c r="AG84" s="66"/>
      <c r="AH84" s="66"/>
      <c r="AI84" s="66"/>
      <c r="AJ84" s="66"/>
      <c r="AK84" s="66"/>
      <c r="AL84" s="66"/>
      <c r="AM84" s="66"/>
      <c r="AN84" s="66"/>
      <c r="AO84" s="66"/>
      <c r="AP84" s="66"/>
      <c r="AQ84" s="66"/>
      <c r="AR84" s="66"/>
      <c r="AS84" s="66"/>
      <c r="AT84" s="66"/>
      <c r="AU84" s="66"/>
      <c r="AV84" s="66"/>
      <c r="AW84" s="66"/>
      <c r="AX84" s="66"/>
      <c r="AY84" s="66">
        <f>+'[7]AGOSTO 2019'!$AA$3331</f>
        <v>20000000</v>
      </c>
      <c r="AZ84" s="66"/>
      <c r="BA84" s="66"/>
      <c r="BB84" s="66"/>
      <c r="BC84" s="66">
        <f>+'[1]OCTUBRE 2019'!$AG$4307</f>
        <v>24432833</v>
      </c>
      <c r="BD84" s="22">
        <f t="shared" si="57"/>
        <v>0.11134334000000001</v>
      </c>
      <c r="BE84" s="66">
        <f t="shared" si="69"/>
        <v>5567167</v>
      </c>
      <c r="BF84" s="66">
        <f t="shared" si="70"/>
        <v>0</v>
      </c>
      <c r="BG84" s="66">
        <f t="shared" si="70"/>
        <v>0</v>
      </c>
      <c r="BH84" s="66">
        <f t="shared" si="70"/>
        <v>0</v>
      </c>
      <c r="BI84" s="66">
        <f t="shared" si="71"/>
        <v>0</v>
      </c>
      <c r="BJ84" s="66">
        <f t="shared" si="72"/>
        <v>0</v>
      </c>
      <c r="BK84" s="66">
        <f t="shared" si="72"/>
        <v>0</v>
      </c>
      <c r="BL84" s="66">
        <f t="shared" si="72"/>
        <v>0</v>
      </c>
      <c r="BM84" s="66">
        <f t="shared" si="72"/>
        <v>0</v>
      </c>
      <c r="BN84" s="66">
        <f t="shared" si="72"/>
        <v>0</v>
      </c>
      <c r="BO84" s="66">
        <f t="shared" si="72"/>
        <v>0</v>
      </c>
      <c r="BP84" s="66">
        <f t="shared" si="72"/>
        <v>0</v>
      </c>
      <c r="BQ84" s="66">
        <f t="shared" si="72"/>
        <v>0</v>
      </c>
      <c r="BR84" s="66">
        <f t="shared" si="72"/>
        <v>0</v>
      </c>
      <c r="BS84" s="66">
        <f t="shared" si="72"/>
        <v>0</v>
      </c>
      <c r="BT84" s="66">
        <f t="shared" si="72"/>
        <v>0</v>
      </c>
      <c r="BU84" s="66">
        <f t="shared" si="72"/>
        <v>0</v>
      </c>
      <c r="BV84" s="66">
        <f t="shared" si="72"/>
        <v>0</v>
      </c>
      <c r="BW84" s="66">
        <f t="shared" si="72"/>
        <v>0</v>
      </c>
      <c r="BX84" s="66">
        <f t="shared" si="72"/>
        <v>0</v>
      </c>
      <c r="BY84" s="66">
        <f t="shared" si="72"/>
        <v>0</v>
      </c>
      <c r="BZ84" s="66">
        <f t="shared" si="73"/>
        <v>0</v>
      </c>
      <c r="CA84" s="66"/>
      <c r="CB84" s="66">
        <f t="shared" si="74"/>
        <v>5567167</v>
      </c>
      <c r="CC84" s="22">
        <f t="shared" si="58"/>
        <v>0.78865666000000001</v>
      </c>
      <c r="CD84" s="66">
        <f t="shared" si="75"/>
        <v>39432833</v>
      </c>
      <c r="CE84" s="66"/>
      <c r="CF84" s="66"/>
      <c r="CG84" s="66"/>
      <c r="CH84" s="66"/>
      <c r="CI84" s="66"/>
      <c r="CJ84" s="66"/>
      <c r="CK84" s="66"/>
      <c r="CL84" s="66"/>
      <c r="CM84" s="66"/>
      <c r="CN84" s="66"/>
      <c r="CO84" s="66"/>
      <c r="CP84" s="66"/>
      <c r="CQ84" s="66"/>
      <c r="CR84" s="66"/>
      <c r="CS84" s="66"/>
      <c r="CT84" s="66"/>
      <c r="CU84" s="66"/>
      <c r="CV84" s="66"/>
      <c r="CW84" s="66">
        <f>+'[2]SEPTIEMBRE 2019'!$H$3880</f>
        <v>20000000</v>
      </c>
      <c r="CX84" s="66"/>
      <c r="CY84" s="66"/>
      <c r="CZ84" s="66"/>
      <c r="DA84" s="66">
        <f>+'[1]OCTUBRE 2019'!$H$4305-CW84</f>
        <v>19432833</v>
      </c>
      <c r="DB84" s="22">
        <f t="shared" si="59"/>
        <v>0.21134333999999999</v>
      </c>
      <c r="DC84" s="66">
        <f t="shared" si="76"/>
        <v>10567167</v>
      </c>
      <c r="DD84" s="66">
        <f t="shared" si="77"/>
        <v>0</v>
      </c>
      <c r="DE84" s="66">
        <f t="shared" si="77"/>
        <v>0</v>
      </c>
      <c r="DF84" s="66"/>
      <c r="DG84" s="66">
        <f t="shared" si="78"/>
        <v>0</v>
      </c>
      <c r="DH84" s="66">
        <f t="shared" si="78"/>
        <v>0</v>
      </c>
      <c r="DI84" s="66">
        <f t="shared" si="78"/>
        <v>0</v>
      </c>
      <c r="DJ84" s="66">
        <f t="shared" si="78"/>
        <v>0</v>
      </c>
      <c r="DK84" s="66">
        <f t="shared" si="78"/>
        <v>0</v>
      </c>
      <c r="DL84" s="66">
        <f t="shared" si="78"/>
        <v>0</v>
      </c>
      <c r="DM84" s="66">
        <f t="shared" si="78"/>
        <v>0</v>
      </c>
      <c r="DN84" s="66">
        <f t="shared" si="78"/>
        <v>0</v>
      </c>
      <c r="DO84" s="66">
        <f t="shared" si="78"/>
        <v>0</v>
      </c>
      <c r="DP84" s="66">
        <f t="shared" si="78"/>
        <v>0</v>
      </c>
      <c r="DQ84" s="66">
        <f t="shared" si="78"/>
        <v>0</v>
      </c>
      <c r="DR84" s="66">
        <f t="shared" si="78"/>
        <v>0</v>
      </c>
      <c r="DS84" s="66">
        <f t="shared" si="78"/>
        <v>0</v>
      </c>
      <c r="DT84" s="66">
        <f t="shared" si="78"/>
        <v>0</v>
      </c>
      <c r="DU84" s="66">
        <f t="shared" si="78"/>
        <v>0</v>
      </c>
      <c r="DV84" s="66">
        <f t="shared" si="78"/>
        <v>0</v>
      </c>
      <c r="DW84" s="66">
        <f t="shared" si="79"/>
        <v>0</v>
      </c>
      <c r="DX84" s="66">
        <f t="shared" si="79"/>
        <v>0</v>
      </c>
      <c r="DY84" s="66"/>
      <c r="DZ84" s="66">
        <f t="shared" si="80"/>
        <v>10567167</v>
      </c>
      <c r="EC84" s="173">
        <v>50000000</v>
      </c>
      <c r="ED84" s="173">
        <v>39432833</v>
      </c>
      <c r="EE84" s="174">
        <f t="shared" si="52"/>
        <v>0.78865666000000001</v>
      </c>
    </row>
    <row r="85" spans="1:135" ht="19.8" hidden="1" customHeight="1" x14ac:dyDescent="0.3">
      <c r="A85" s="218"/>
      <c r="B85" s="113"/>
      <c r="C85" s="101" t="s">
        <v>173</v>
      </c>
      <c r="D85" s="71" t="s">
        <v>172</v>
      </c>
      <c r="E85" s="124">
        <v>520</v>
      </c>
      <c r="F85" s="67" t="s">
        <v>127</v>
      </c>
      <c r="G85" s="66">
        <f t="shared" si="67"/>
        <v>15000000</v>
      </c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>
        <v>15000000</v>
      </c>
      <c r="Y85" s="66"/>
      <c r="Z85" s="66"/>
      <c r="AA85" s="66"/>
      <c r="AB85" s="66"/>
      <c r="AC85" s="66"/>
      <c r="AD85" s="66"/>
      <c r="AE85" s="22"/>
      <c r="AF85" s="66">
        <f t="shared" si="68"/>
        <v>0</v>
      </c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66"/>
      <c r="AR85" s="66"/>
      <c r="AS85" s="66"/>
      <c r="AT85" s="66"/>
      <c r="AU85" s="66"/>
      <c r="AV85" s="66"/>
      <c r="AW85" s="66"/>
      <c r="AX85" s="66"/>
      <c r="AY85" s="66"/>
      <c r="AZ85" s="66"/>
      <c r="BA85" s="66"/>
      <c r="BB85" s="66"/>
      <c r="BC85" s="66"/>
      <c r="BD85" s="22">
        <f t="shared" si="57"/>
        <v>1</v>
      </c>
      <c r="BE85" s="66">
        <f t="shared" si="69"/>
        <v>15000000</v>
      </c>
      <c r="BF85" s="66">
        <f t="shared" si="70"/>
        <v>0</v>
      </c>
      <c r="BG85" s="66">
        <f t="shared" si="70"/>
        <v>0</v>
      </c>
      <c r="BH85" s="66">
        <f t="shared" si="70"/>
        <v>0</v>
      </c>
      <c r="BI85" s="66">
        <f t="shared" si="71"/>
        <v>0</v>
      </c>
      <c r="BJ85" s="66">
        <f t="shared" si="72"/>
        <v>0</v>
      </c>
      <c r="BK85" s="66">
        <f t="shared" si="72"/>
        <v>0</v>
      </c>
      <c r="BL85" s="66">
        <f t="shared" si="72"/>
        <v>0</v>
      </c>
      <c r="BM85" s="66">
        <f t="shared" si="72"/>
        <v>0</v>
      </c>
      <c r="BN85" s="66">
        <f t="shared" si="72"/>
        <v>0</v>
      </c>
      <c r="BO85" s="66">
        <f t="shared" si="72"/>
        <v>0</v>
      </c>
      <c r="BP85" s="66">
        <f t="shared" si="72"/>
        <v>0</v>
      </c>
      <c r="BQ85" s="66">
        <f t="shared" si="72"/>
        <v>0</v>
      </c>
      <c r="BR85" s="66">
        <f t="shared" si="72"/>
        <v>0</v>
      </c>
      <c r="BS85" s="66">
        <f t="shared" si="72"/>
        <v>0</v>
      </c>
      <c r="BT85" s="66">
        <f t="shared" si="72"/>
        <v>0</v>
      </c>
      <c r="BU85" s="66">
        <f t="shared" si="72"/>
        <v>0</v>
      </c>
      <c r="BV85" s="66">
        <f t="shared" si="72"/>
        <v>15000000</v>
      </c>
      <c r="BW85" s="66">
        <f t="shared" si="72"/>
        <v>0</v>
      </c>
      <c r="BX85" s="66">
        <f t="shared" si="72"/>
        <v>0</v>
      </c>
      <c r="BY85" s="66">
        <f t="shared" si="72"/>
        <v>0</v>
      </c>
      <c r="BZ85" s="66">
        <f t="shared" si="73"/>
        <v>0</v>
      </c>
      <c r="CA85" s="66"/>
      <c r="CB85" s="66">
        <f t="shared" si="74"/>
        <v>0</v>
      </c>
      <c r="CC85" s="22">
        <f t="shared" si="58"/>
        <v>0</v>
      </c>
      <c r="CD85" s="66">
        <f t="shared" si="75"/>
        <v>0</v>
      </c>
      <c r="CE85" s="66"/>
      <c r="CF85" s="66"/>
      <c r="CG85" s="66"/>
      <c r="CH85" s="66"/>
      <c r="CI85" s="66"/>
      <c r="CJ85" s="66"/>
      <c r="CK85" s="66"/>
      <c r="CL85" s="66"/>
      <c r="CM85" s="66"/>
      <c r="CN85" s="66"/>
      <c r="CO85" s="66"/>
      <c r="CP85" s="66"/>
      <c r="CQ85" s="66"/>
      <c r="CR85" s="66"/>
      <c r="CS85" s="66"/>
      <c r="CT85" s="66"/>
      <c r="CU85" s="66"/>
      <c r="CV85" s="66"/>
      <c r="CW85" s="66"/>
      <c r="CX85" s="66"/>
      <c r="CY85" s="66"/>
      <c r="CZ85" s="66"/>
      <c r="DA85" s="66"/>
      <c r="DB85" s="22">
        <f t="shared" si="59"/>
        <v>1</v>
      </c>
      <c r="DC85" s="66">
        <f t="shared" si="76"/>
        <v>15000000</v>
      </c>
      <c r="DD85" s="66">
        <f t="shared" si="77"/>
        <v>0</v>
      </c>
      <c r="DE85" s="66">
        <f t="shared" si="77"/>
        <v>0</v>
      </c>
      <c r="DF85" s="66"/>
      <c r="DG85" s="66">
        <f t="shared" si="78"/>
        <v>0</v>
      </c>
      <c r="DH85" s="66">
        <f t="shared" si="78"/>
        <v>0</v>
      </c>
      <c r="DI85" s="66">
        <f t="shared" si="78"/>
        <v>0</v>
      </c>
      <c r="DJ85" s="66">
        <f t="shared" si="78"/>
        <v>0</v>
      </c>
      <c r="DK85" s="66">
        <f t="shared" si="78"/>
        <v>0</v>
      </c>
      <c r="DL85" s="66">
        <f t="shared" si="78"/>
        <v>0</v>
      </c>
      <c r="DM85" s="66">
        <f t="shared" si="78"/>
        <v>0</v>
      </c>
      <c r="DN85" s="66">
        <f t="shared" si="78"/>
        <v>0</v>
      </c>
      <c r="DO85" s="66">
        <f t="shared" si="78"/>
        <v>0</v>
      </c>
      <c r="DP85" s="66">
        <f t="shared" si="78"/>
        <v>0</v>
      </c>
      <c r="DQ85" s="66">
        <f t="shared" si="78"/>
        <v>0</v>
      </c>
      <c r="DR85" s="66">
        <f t="shared" si="78"/>
        <v>0</v>
      </c>
      <c r="DS85" s="66">
        <f t="shared" si="78"/>
        <v>0</v>
      </c>
      <c r="DT85" s="66">
        <f t="shared" si="78"/>
        <v>15000000</v>
      </c>
      <c r="DU85" s="66">
        <f t="shared" si="78"/>
        <v>0</v>
      </c>
      <c r="DV85" s="66">
        <f t="shared" si="78"/>
        <v>0</v>
      </c>
      <c r="DW85" s="66">
        <f t="shared" si="79"/>
        <v>0</v>
      </c>
      <c r="DX85" s="66">
        <f t="shared" si="79"/>
        <v>0</v>
      </c>
      <c r="DY85" s="66"/>
      <c r="DZ85" s="66">
        <f t="shared" si="80"/>
        <v>0</v>
      </c>
      <c r="EC85" s="173">
        <v>15000000</v>
      </c>
      <c r="ED85" s="173">
        <v>0</v>
      </c>
      <c r="EE85" s="174">
        <f t="shared" si="52"/>
        <v>0</v>
      </c>
    </row>
    <row r="86" spans="1:135" ht="47.25" hidden="1" customHeight="1" x14ac:dyDescent="0.3">
      <c r="A86" s="218"/>
      <c r="B86" s="113"/>
      <c r="C86" s="101" t="s">
        <v>171</v>
      </c>
      <c r="D86" s="71" t="s">
        <v>170</v>
      </c>
      <c r="E86" s="124">
        <v>520</v>
      </c>
      <c r="F86" s="67" t="s">
        <v>127</v>
      </c>
      <c r="G86" s="66">
        <f t="shared" si="67"/>
        <v>15000000</v>
      </c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>
        <v>15000000</v>
      </c>
      <c r="Y86" s="66"/>
      <c r="Z86" s="66"/>
      <c r="AA86" s="66"/>
      <c r="AB86" s="66"/>
      <c r="AC86" s="66"/>
      <c r="AD86" s="66"/>
      <c r="AE86" s="22"/>
      <c r="AF86" s="66">
        <f t="shared" si="68"/>
        <v>0</v>
      </c>
      <c r="AG86" s="66"/>
      <c r="AH86" s="66"/>
      <c r="AI86" s="66"/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  <c r="AU86" s="66"/>
      <c r="AV86" s="66"/>
      <c r="AW86" s="66"/>
      <c r="AX86" s="66"/>
      <c r="AY86" s="66"/>
      <c r="AZ86" s="66"/>
      <c r="BA86" s="66"/>
      <c r="BB86" s="66"/>
      <c r="BC86" s="66"/>
      <c r="BD86" s="22">
        <f t="shared" si="57"/>
        <v>1</v>
      </c>
      <c r="BE86" s="66">
        <f t="shared" si="69"/>
        <v>15000000</v>
      </c>
      <c r="BF86" s="66">
        <f t="shared" si="70"/>
        <v>0</v>
      </c>
      <c r="BG86" s="66">
        <f t="shared" si="70"/>
        <v>0</v>
      </c>
      <c r="BH86" s="66">
        <f t="shared" si="70"/>
        <v>0</v>
      </c>
      <c r="BI86" s="66">
        <f t="shared" si="71"/>
        <v>0</v>
      </c>
      <c r="BJ86" s="66">
        <f t="shared" si="72"/>
        <v>0</v>
      </c>
      <c r="BK86" s="66">
        <f t="shared" si="72"/>
        <v>0</v>
      </c>
      <c r="BL86" s="66">
        <f t="shared" si="72"/>
        <v>0</v>
      </c>
      <c r="BM86" s="66">
        <f t="shared" si="72"/>
        <v>0</v>
      </c>
      <c r="BN86" s="66">
        <f t="shared" si="72"/>
        <v>0</v>
      </c>
      <c r="BO86" s="66">
        <f t="shared" si="72"/>
        <v>0</v>
      </c>
      <c r="BP86" s="66">
        <f t="shared" si="72"/>
        <v>0</v>
      </c>
      <c r="BQ86" s="66">
        <f t="shared" si="72"/>
        <v>0</v>
      </c>
      <c r="BR86" s="66">
        <f t="shared" si="72"/>
        <v>0</v>
      </c>
      <c r="BS86" s="66">
        <f t="shared" si="72"/>
        <v>0</v>
      </c>
      <c r="BT86" s="66">
        <f t="shared" si="72"/>
        <v>0</v>
      </c>
      <c r="BU86" s="66">
        <f t="shared" si="72"/>
        <v>0</v>
      </c>
      <c r="BV86" s="66">
        <f t="shared" si="72"/>
        <v>15000000</v>
      </c>
      <c r="BW86" s="66">
        <f t="shared" si="72"/>
        <v>0</v>
      </c>
      <c r="BX86" s="66">
        <f t="shared" si="72"/>
        <v>0</v>
      </c>
      <c r="BY86" s="66">
        <f t="shared" si="72"/>
        <v>0</v>
      </c>
      <c r="BZ86" s="66">
        <f t="shared" si="73"/>
        <v>0</v>
      </c>
      <c r="CA86" s="66"/>
      <c r="CB86" s="66">
        <f t="shared" si="74"/>
        <v>0</v>
      </c>
      <c r="CC86" s="22">
        <f t="shared" si="58"/>
        <v>0</v>
      </c>
      <c r="CD86" s="66">
        <f t="shared" si="75"/>
        <v>0</v>
      </c>
      <c r="CE86" s="66"/>
      <c r="CF86" s="66"/>
      <c r="CG86" s="66"/>
      <c r="CH86" s="66"/>
      <c r="CI86" s="66"/>
      <c r="CJ86" s="66"/>
      <c r="CK86" s="66"/>
      <c r="CL86" s="66"/>
      <c r="CM86" s="66"/>
      <c r="CN86" s="66"/>
      <c r="CO86" s="66"/>
      <c r="CP86" s="66"/>
      <c r="CQ86" s="66"/>
      <c r="CR86" s="66"/>
      <c r="CS86" s="66"/>
      <c r="CT86" s="66"/>
      <c r="CU86" s="66"/>
      <c r="CV86" s="66"/>
      <c r="CW86" s="66"/>
      <c r="CX86" s="66"/>
      <c r="CY86" s="66"/>
      <c r="CZ86" s="66"/>
      <c r="DA86" s="66"/>
      <c r="DB86" s="22">
        <f t="shared" si="59"/>
        <v>1</v>
      </c>
      <c r="DC86" s="66">
        <f t="shared" si="76"/>
        <v>15000000</v>
      </c>
      <c r="DD86" s="66">
        <f t="shared" si="77"/>
        <v>0</v>
      </c>
      <c r="DE86" s="66">
        <f t="shared" si="77"/>
        <v>0</v>
      </c>
      <c r="DF86" s="66"/>
      <c r="DG86" s="66">
        <f t="shared" si="78"/>
        <v>0</v>
      </c>
      <c r="DH86" s="66">
        <f t="shared" si="78"/>
        <v>0</v>
      </c>
      <c r="DI86" s="66">
        <f t="shared" si="78"/>
        <v>0</v>
      </c>
      <c r="DJ86" s="66">
        <f t="shared" si="78"/>
        <v>0</v>
      </c>
      <c r="DK86" s="66">
        <f t="shared" si="78"/>
        <v>0</v>
      </c>
      <c r="DL86" s="66">
        <f t="shared" si="78"/>
        <v>0</v>
      </c>
      <c r="DM86" s="66">
        <f t="shared" si="78"/>
        <v>0</v>
      </c>
      <c r="DN86" s="66">
        <f t="shared" si="78"/>
        <v>0</v>
      </c>
      <c r="DO86" s="66">
        <f t="shared" si="78"/>
        <v>0</v>
      </c>
      <c r="DP86" s="66">
        <f t="shared" si="78"/>
        <v>0</v>
      </c>
      <c r="DQ86" s="66">
        <f t="shared" si="78"/>
        <v>0</v>
      </c>
      <c r="DR86" s="66">
        <f t="shared" si="78"/>
        <v>0</v>
      </c>
      <c r="DS86" s="66">
        <f t="shared" si="78"/>
        <v>0</v>
      </c>
      <c r="DT86" s="66">
        <f t="shared" si="78"/>
        <v>15000000</v>
      </c>
      <c r="DU86" s="66">
        <f t="shared" si="78"/>
        <v>0</v>
      </c>
      <c r="DV86" s="66">
        <f t="shared" si="78"/>
        <v>0</v>
      </c>
      <c r="DW86" s="66">
        <f t="shared" si="79"/>
        <v>0</v>
      </c>
      <c r="DX86" s="66">
        <f t="shared" si="79"/>
        <v>0</v>
      </c>
      <c r="DY86" s="66"/>
      <c r="DZ86" s="66">
        <f t="shared" si="80"/>
        <v>0</v>
      </c>
      <c r="EC86" s="173">
        <v>15000000</v>
      </c>
      <c r="ED86" s="173">
        <v>0</v>
      </c>
      <c r="EE86" s="174">
        <f t="shared" si="52"/>
        <v>0</v>
      </c>
    </row>
    <row r="87" spans="1:135" ht="31.2" hidden="1" customHeight="1" x14ac:dyDescent="0.3">
      <c r="A87" s="218"/>
      <c r="B87" s="112" t="s">
        <v>169</v>
      </c>
      <c r="C87" s="101" t="s">
        <v>168</v>
      </c>
      <c r="D87" s="71" t="s">
        <v>167</v>
      </c>
      <c r="E87" s="124">
        <v>520</v>
      </c>
      <c r="F87" s="67" t="s">
        <v>127</v>
      </c>
      <c r="G87" s="66">
        <f t="shared" si="67"/>
        <v>100000000</v>
      </c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>
        <v>60000000</v>
      </c>
      <c r="Y87" s="66"/>
      <c r="Z87" s="66">
        <v>40000000</v>
      </c>
      <c r="AA87" s="66"/>
      <c r="AB87" s="66"/>
      <c r="AC87" s="66"/>
      <c r="AD87" s="66"/>
      <c r="AE87" s="22">
        <f t="shared" ref="AE87:AE143" si="81">+AF87/G87</f>
        <v>0.99890199999999996</v>
      </c>
      <c r="AF87" s="66">
        <f t="shared" si="68"/>
        <v>99890200</v>
      </c>
      <c r="AG87" s="66"/>
      <c r="AH87" s="66"/>
      <c r="AI87" s="66"/>
      <c r="AJ87" s="66"/>
      <c r="AK87" s="66"/>
      <c r="AL87" s="66"/>
      <c r="AM87" s="66"/>
      <c r="AN87" s="66"/>
      <c r="AO87" s="66"/>
      <c r="AP87" s="66"/>
      <c r="AQ87" s="66"/>
      <c r="AR87" s="66"/>
      <c r="AS87" s="66"/>
      <c r="AT87" s="66"/>
      <c r="AU87" s="66"/>
      <c r="AV87" s="66"/>
      <c r="AW87" s="66">
        <f>+'[1]OCTUBRE 2019'!$H$4350-AY87</f>
        <v>60000000</v>
      </c>
      <c r="AX87" s="66"/>
      <c r="AY87" s="66">
        <f>+'[1]OCTUBRE 2019'!$H$4402+'[1]OCTUBRE 2019'!$H$4421</f>
        <v>39890200</v>
      </c>
      <c r="AZ87" s="66"/>
      <c r="BA87" s="66"/>
      <c r="BB87" s="66"/>
      <c r="BC87" s="66"/>
      <c r="BD87" s="22">
        <f t="shared" si="57"/>
        <v>1.0980000000000434E-3</v>
      </c>
      <c r="BE87" s="66">
        <f t="shared" si="69"/>
        <v>109800</v>
      </c>
      <c r="BF87" s="66">
        <f t="shared" si="70"/>
        <v>0</v>
      </c>
      <c r="BG87" s="66">
        <f t="shared" si="70"/>
        <v>0</v>
      </c>
      <c r="BH87" s="66">
        <f t="shared" si="70"/>
        <v>0</v>
      </c>
      <c r="BI87" s="66">
        <f t="shared" si="71"/>
        <v>0</v>
      </c>
      <c r="BJ87" s="66">
        <f t="shared" si="72"/>
        <v>0</v>
      </c>
      <c r="BK87" s="66">
        <f t="shared" si="72"/>
        <v>0</v>
      </c>
      <c r="BL87" s="66">
        <f t="shared" si="72"/>
        <v>0</v>
      </c>
      <c r="BM87" s="66">
        <f t="shared" si="72"/>
        <v>0</v>
      </c>
      <c r="BN87" s="66">
        <f t="shared" si="72"/>
        <v>0</v>
      </c>
      <c r="BO87" s="66">
        <f t="shared" si="72"/>
        <v>0</v>
      </c>
      <c r="BP87" s="66">
        <f t="shared" si="72"/>
        <v>0</v>
      </c>
      <c r="BQ87" s="66">
        <f t="shared" si="72"/>
        <v>0</v>
      </c>
      <c r="BR87" s="66">
        <f t="shared" si="72"/>
        <v>0</v>
      </c>
      <c r="BS87" s="66">
        <f t="shared" si="72"/>
        <v>0</v>
      </c>
      <c r="BT87" s="66">
        <f t="shared" si="72"/>
        <v>0</v>
      </c>
      <c r="BU87" s="66">
        <f t="shared" si="72"/>
        <v>0</v>
      </c>
      <c r="BV87" s="66">
        <f t="shared" si="72"/>
        <v>0</v>
      </c>
      <c r="BW87" s="66">
        <f t="shared" si="72"/>
        <v>0</v>
      </c>
      <c r="BX87" s="66">
        <f t="shared" si="72"/>
        <v>109800</v>
      </c>
      <c r="BY87" s="66">
        <f t="shared" si="72"/>
        <v>0</v>
      </c>
      <c r="BZ87" s="66">
        <f t="shared" si="73"/>
        <v>0</v>
      </c>
      <c r="CA87" s="66"/>
      <c r="CB87" s="66">
        <f t="shared" si="74"/>
        <v>0</v>
      </c>
      <c r="CC87" s="22">
        <f t="shared" si="58"/>
        <v>0.99890199999999996</v>
      </c>
      <c r="CD87" s="66">
        <f t="shared" si="75"/>
        <v>99890200</v>
      </c>
      <c r="CE87" s="66"/>
      <c r="CF87" s="66"/>
      <c r="CG87" s="66"/>
      <c r="CH87" s="66"/>
      <c r="CI87" s="66"/>
      <c r="CJ87" s="66"/>
      <c r="CK87" s="66"/>
      <c r="CL87" s="66"/>
      <c r="CM87" s="66"/>
      <c r="CN87" s="66"/>
      <c r="CO87" s="66"/>
      <c r="CP87" s="66"/>
      <c r="CQ87" s="66"/>
      <c r="CR87" s="66"/>
      <c r="CS87" s="66"/>
      <c r="CT87" s="66"/>
      <c r="CU87" s="66">
        <f>+'[1]OCTUBRE 2019'!$H$4350-CW87</f>
        <v>60000000</v>
      </c>
      <c r="CV87" s="66"/>
      <c r="CW87" s="66">
        <f>+'[1]OCTUBRE 2019'!$H$4402+'[1]OCTUBRE 2019'!$H$4421</f>
        <v>39890200</v>
      </c>
      <c r="CX87" s="66"/>
      <c r="CY87" s="66"/>
      <c r="CZ87" s="66"/>
      <c r="DA87" s="66"/>
      <c r="DB87" s="22">
        <f t="shared" si="59"/>
        <v>1.0980000000000434E-3</v>
      </c>
      <c r="DC87" s="66">
        <f t="shared" si="76"/>
        <v>109800</v>
      </c>
      <c r="DD87" s="66">
        <f t="shared" si="77"/>
        <v>0</v>
      </c>
      <c r="DE87" s="66">
        <f t="shared" si="77"/>
        <v>0</v>
      </c>
      <c r="DF87" s="66"/>
      <c r="DG87" s="66">
        <f t="shared" si="78"/>
        <v>0</v>
      </c>
      <c r="DH87" s="66">
        <f t="shared" si="78"/>
        <v>0</v>
      </c>
      <c r="DI87" s="66">
        <f t="shared" si="78"/>
        <v>0</v>
      </c>
      <c r="DJ87" s="66">
        <f t="shared" si="78"/>
        <v>0</v>
      </c>
      <c r="DK87" s="66">
        <f t="shared" si="78"/>
        <v>0</v>
      </c>
      <c r="DL87" s="66">
        <f t="shared" si="78"/>
        <v>0</v>
      </c>
      <c r="DM87" s="66">
        <f t="shared" si="78"/>
        <v>0</v>
      </c>
      <c r="DN87" s="66">
        <f t="shared" si="78"/>
        <v>0</v>
      </c>
      <c r="DO87" s="66">
        <f t="shared" si="78"/>
        <v>0</v>
      </c>
      <c r="DP87" s="66">
        <f t="shared" si="78"/>
        <v>0</v>
      </c>
      <c r="DQ87" s="66">
        <f t="shared" si="78"/>
        <v>0</v>
      </c>
      <c r="DR87" s="66">
        <f t="shared" si="78"/>
        <v>0</v>
      </c>
      <c r="DS87" s="66">
        <f t="shared" si="78"/>
        <v>0</v>
      </c>
      <c r="DT87" s="66">
        <f t="shared" si="78"/>
        <v>0</v>
      </c>
      <c r="DU87" s="66">
        <f t="shared" si="78"/>
        <v>0</v>
      </c>
      <c r="DV87" s="66">
        <f t="shared" si="78"/>
        <v>109800</v>
      </c>
      <c r="DW87" s="66">
        <f t="shared" si="79"/>
        <v>0</v>
      </c>
      <c r="DX87" s="66">
        <f t="shared" si="79"/>
        <v>0</v>
      </c>
      <c r="DY87" s="66"/>
      <c r="DZ87" s="66">
        <f t="shared" si="80"/>
        <v>0</v>
      </c>
      <c r="EC87" s="173">
        <v>100000000</v>
      </c>
      <c r="ED87" s="173">
        <v>99890200</v>
      </c>
      <c r="EE87" s="174">
        <f t="shared" si="52"/>
        <v>0.99890199999999996</v>
      </c>
    </row>
    <row r="88" spans="1:135" ht="44.4" hidden="1" customHeight="1" x14ac:dyDescent="0.3">
      <c r="A88" s="218"/>
      <c r="B88" s="209" t="s">
        <v>166</v>
      </c>
      <c r="C88" s="101" t="s">
        <v>165</v>
      </c>
      <c r="D88" s="71" t="s">
        <v>164</v>
      </c>
      <c r="E88" s="124">
        <v>520</v>
      </c>
      <c r="F88" s="67" t="s">
        <v>127</v>
      </c>
      <c r="G88" s="66">
        <f t="shared" si="67"/>
        <v>150000000</v>
      </c>
      <c r="H88" s="35"/>
      <c r="I88" s="66"/>
      <c r="J88" s="66"/>
      <c r="K88" s="66"/>
      <c r="L88" s="35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>
        <v>150000000</v>
      </c>
      <c r="Y88" s="66"/>
      <c r="Z88" s="66"/>
      <c r="AA88" s="66"/>
      <c r="AB88" s="66"/>
      <c r="AC88" s="66"/>
      <c r="AD88" s="66"/>
      <c r="AE88" s="22">
        <f t="shared" si="81"/>
        <v>0.8827736266666667</v>
      </c>
      <c r="AF88" s="66">
        <f t="shared" si="68"/>
        <v>132416044</v>
      </c>
      <c r="AG88" s="66"/>
      <c r="AH88" s="66"/>
      <c r="AI88" s="66"/>
      <c r="AJ88" s="66"/>
      <c r="AK88" s="66"/>
      <c r="AL88" s="66"/>
      <c r="AM88" s="66"/>
      <c r="AN88" s="66"/>
      <c r="AO88" s="66"/>
      <c r="AP88" s="66"/>
      <c r="AQ88" s="66"/>
      <c r="AR88" s="66"/>
      <c r="AS88" s="66"/>
      <c r="AT88" s="66"/>
      <c r="AU88" s="66"/>
      <c r="AV88" s="66"/>
      <c r="AW88" s="66">
        <f>+'[1]OCTUBRE 2019'!$Z$4431</f>
        <v>132416044</v>
      </c>
      <c r="AX88" s="66"/>
      <c r="AY88" s="66"/>
      <c r="AZ88" s="66"/>
      <c r="BA88" s="66"/>
      <c r="BB88" s="66"/>
      <c r="BC88" s="66"/>
      <c r="BD88" s="22">
        <f t="shared" si="57"/>
        <v>0.1172263733333333</v>
      </c>
      <c r="BE88" s="66">
        <f t="shared" si="69"/>
        <v>17583956</v>
      </c>
      <c r="BF88" s="66">
        <f t="shared" si="70"/>
        <v>0</v>
      </c>
      <c r="BG88" s="66">
        <f t="shared" si="70"/>
        <v>0</v>
      </c>
      <c r="BH88" s="66">
        <f t="shared" si="70"/>
        <v>0</v>
      </c>
      <c r="BI88" s="66">
        <f t="shared" si="71"/>
        <v>0</v>
      </c>
      <c r="BJ88" s="66">
        <f t="shared" si="72"/>
        <v>0</v>
      </c>
      <c r="BK88" s="66">
        <f t="shared" si="72"/>
        <v>0</v>
      </c>
      <c r="BL88" s="66">
        <f t="shared" si="72"/>
        <v>0</v>
      </c>
      <c r="BM88" s="66">
        <f t="shared" si="72"/>
        <v>0</v>
      </c>
      <c r="BN88" s="66">
        <f t="shared" si="72"/>
        <v>0</v>
      </c>
      <c r="BO88" s="66">
        <f t="shared" si="72"/>
        <v>0</v>
      </c>
      <c r="BP88" s="66">
        <f t="shared" si="72"/>
        <v>0</v>
      </c>
      <c r="BQ88" s="66">
        <f t="shared" si="72"/>
        <v>0</v>
      </c>
      <c r="BR88" s="66">
        <f t="shared" si="72"/>
        <v>0</v>
      </c>
      <c r="BS88" s="66">
        <f t="shared" si="72"/>
        <v>0</v>
      </c>
      <c r="BT88" s="66">
        <f t="shared" si="72"/>
        <v>0</v>
      </c>
      <c r="BU88" s="66">
        <f t="shared" si="72"/>
        <v>0</v>
      </c>
      <c r="BV88" s="66">
        <f t="shared" si="72"/>
        <v>17583956</v>
      </c>
      <c r="BW88" s="66">
        <f t="shared" si="72"/>
        <v>0</v>
      </c>
      <c r="BX88" s="66">
        <f t="shared" si="72"/>
        <v>0</v>
      </c>
      <c r="BY88" s="66">
        <f t="shared" si="72"/>
        <v>0</v>
      </c>
      <c r="BZ88" s="66">
        <f t="shared" si="73"/>
        <v>0</v>
      </c>
      <c r="CA88" s="66"/>
      <c r="CB88" s="66">
        <f t="shared" si="74"/>
        <v>0</v>
      </c>
      <c r="CC88" s="22">
        <f t="shared" si="58"/>
        <v>0.77610539999999995</v>
      </c>
      <c r="CD88" s="66">
        <f t="shared" si="75"/>
        <v>116415810</v>
      </c>
      <c r="CE88" s="66"/>
      <c r="CF88" s="66"/>
      <c r="CG88" s="66"/>
      <c r="CH88" s="66"/>
      <c r="CI88" s="66"/>
      <c r="CJ88" s="66"/>
      <c r="CK88" s="66"/>
      <c r="CL88" s="66"/>
      <c r="CM88" s="66"/>
      <c r="CN88" s="66"/>
      <c r="CO88" s="66"/>
      <c r="CP88" s="66"/>
      <c r="CQ88" s="66"/>
      <c r="CR88" s="66"/>
      <c r="CS88" s="66"/>
      <c r="CT88" s="66"/>
      <c r="CU88" s="66">
        <f>+'[1]OCTUBRE 2019'!$H$4429</f>
        <v>116415810</v>
      </c>
      <c r="CV88" s="66"/>
      <c r="CW88" s="66"/>
      <c r="CX88" s="66"/>
      <c r="CY88" s="66"/>
      <c r="CZ88" s="66"/>
      <c r="DA88" s="66"/>
      <c r="DB88" s="22">
        <f t="shared" si="59"/>
        <v>0.22389460000000005</v>
      </c>
      <c r="DC88" s="66">
        <f t="shared" si="76"/>
        <v>33584190</v>
      </c>
      <c r="DD88" s="66">
        <f t="shared" si="77"/>
        <v>0</v>
      </c>
      <c r="DE88" s="66">
        <f t="shared" si="77"/>
        <v>0</v>
      </c>
      <c r="DF88" s="66"/>
      <c r="DG88" s="66">
        <f t="shared" si="78"/>
        <v>0</v>
      </c>
      <c r="DH88" s="66">
        <f t="shared" si="78"/>
        <v>0</v>
      </c>
      <c r="DI88" s="66">
        <f t="shared" si="78"/>
        <v>0</v>
      </c>
      <c r="DJ88" s="66">
        <f t="shared" si="78"/>
        <v>0</v>
      </c>
      <c r="DK88" s="66">
        <f t="shared" si="78"/>
        <v>0</v>
      </c>
      <c r="DL88" s="66">
        <f t="shared" si="78"/>
        <v>0</v>
      </c>
      <c r="DM88" s="66">
        <f t="shared" si="78"/>
        <v>0</v>
      </c>
      <c r="DN88" s="66">
        <f t="shared" si="78"/>
        <v>0</v>
      </c>
      <c r="DO88" s="66">
        <f t="shared" si="78"/>
        <v>0</v>
      </c>
      <c r="DP88" s="66">
        <f t="shared" si="78"/>
        <v>0</v>
      </c>
      <c r="DQ88" s="66">
        <f t="shared" si="78"/>
        <v>0</v>
      </c>
      <c r="DR88" s="66">
        <f t="shared" si="78"/>
        <v>0</v>
      </c>
      <c r="DS88" s="66">
        <f t="shared" si="78"/>
        <v>0</v>
      </c>
      <c r="DT88" s="66">
        <f t="shared" si="78"/>
        <v>33584190</v>
      </c>
      <c r="DU88" s="66">
        <f t="shared" si="78"/>
        <v>0</v>
      </c>
      <c r="DV88" s="66">
        <f t="shared" si="78"/>
        <v>0</v>
      </c>
      <c r="DW88" s="66">
        <f t="shared" si="79"/>
        <v>0</v>
      </c>
      <c r="DX88" s="66">
        <f t="shared" si="79"/>
        <v>0</v>
      </c>
      <c r="DY88" s="66"/>
      <c r="DZ88" s="66">
        <f t="shared" si="80"/>
        <v>0</v>
      </c>
      <c r="EC88" s="173">
        <v>150000000</v>
      </c>
      <c r="ED88" s="173">
        <v>116415810</v>
      </c>
      <c r="EE88" s="174">
        <f t="shared" si="52"/>
        <v>0.77610539999999995</v>
      </c>
    </row>
    <row r="89" spans="1:135" ht="30" hidden="1" customHeight="1" x14ac:dyDescent="0.3">
      <c r="A89" s="218"/>
      <c r="B89" s="210"/>
      <c r="C89" s="101" t="s">
        <v>163</v>
      </c>
      <c r="D89" s="71" t="s">
        <v>162</v>
      </c>
      <c r="E89" s="124">
        <v>520</v>
      </c>
      <c r="F89" s="67" t="s">
        <v>161</v>
      </c>
      <c r="G89" s="66">
        <f t="shared" si="67"/>
        <v>2125618253</v>
      </c>
      <c r="H89" s="99"/>
      <c r="I89" s="35"/>
      <c r="J89" s="35"/>
      <c r="K89" s="35"/>
      <c r="L89" s="35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>
        <f>2000000000+115618253</f>
        <v>2115618253</v>
      </c>
      <c r="X89" s="66"/>
      <c r="Y89" s="66"/>
      <c r="Z89" s="66"/>
      <c r="AA89" s="66"/>
      <c r="AB89" s="66"/>
      <c r="AC89" s="66"/>
      <c r="AD89" s="66">
        <f>10000000</f>
        <v>10000000</v>
      </c>
      <c r="AE89" s="22">
        <f t="shared" si="81"/>
        <v>0.54343330387274391</v>
      </c>
      <c r="AF89" s="66">
        <f t="shared" si="68"/>
        <v>1155131750</v>
      </c>
      <c r="AG89" s="66"/>
      <c r="AH89" s="66"/>
      <c r="AI89" s="66"/>
      <c r="AJ89" s="66"/>
      <c r="AK89" s="66"/>
      <c r="AL89" s="66"/>
      <c r="AM89" s="66"/>
      <c r="AN89" s="66"/>
      <c r="AO89" s="66"/>
      <c r="AP89" s="66"/>
      <c r="AQ89" s="66"/>
      <c r="AR89" s="66"/>
      <c r="AS89" s="66"/>
      <c r="AT89" s="66"/>
      <c r="AU89" s="66"/>
      <c r="AV89" s="66">
        <f>+'[1]OCTUBRE 2019'!$Y$4493</f>
        <v>1147808427</v>
      </c>
      <c r="AW89" s="66"/>
      <c r="AX89" s="66"/>
      <c r="AY89" s="66"/>
      <c r="AZ89" s="66"/>
      <c r="BA89" s="66"/>
      <c r="BB89" s="66"/>
      <c r="BC89" s="66">
        <f>+'[3]JULIO 2019'!$AF$3060</f>
        <v>7323323</v>
      </c>
      <c r="BD89" s="22">
        <f t="shared" si="57"/>
        <v>0.45656669612725609</v>
      </c>
      <c r="BE89" s="66">
        <f t="shared" si="69"/>
        <v>970486503</v>
      </c>
      <c r="BF89" s="66">
        <f t="shared" si="70"/>
        <v>0</v>
      </c>
      <c r="BG89" s="66">
        <f t="shared" si="70"/>
        <v>0</v>
      </c>
      <c r="BH89" s="66">
        <f t="shared" si="70"/>
        <v>0</v>
      </c>
      <c r="BI89" s="66">
        <f t="shared" si="71"/>
        <v>0</v>
      </c>
      <c r="BJ89" s="66">
        <f t="shared" si="72"/>
        <v>0</v>
      </c>
      <c r="BK89" s="66">
        <f t="shared" si="72"/>
        <v>0</v>
      </c>
      <c r="BL89" s="66">
        <f t="shared" si="72"/>
        <v>0</v>
      </c>
      <c r="BM89" s="66">
        <f t="shared" si="72"/>
        <v>0</v>
      </c>
      <c r="BN89" s="66">
        <f t="shared" si="72"/>
        <v>0</v>
      </c>
      <c r="BO89" s="66">
        <f t="shared" si="72"/>
        <v>0</v>
      </c>
      <c r="BP89" s="66">
        <f t="shared" si="72"/>
        <v>0</v>
      </c>
      <c r="BQ89" s="66">
        <f t="shared" si="72"/>
        <v>0</v>
      </c>
      <c r="BR89" s="66">
        <f t="shared" si="72"/>
        <v>0</v>
      </c>
      <c r="BS89" s="66">
        <f t="shared" si="72"/>
        <v>0</v>
      </c>
      <c r="BT89" s="66">
        <f t="shared" si="72"/>
        <v>0</v>
      </c>
      <c r="BU89" s="66">
        <f t="shared" si="72"/>
        <v>967809826</v>
      </c>
      <c r="BV89" s="66">
        <f t="shared" si="72"/>
        <v>0</v>
      </c>
      <c r="BW89" s="66">
        <f t="shared" si="72"/>
        <v>0</v>
      </c>
      <c r="BX89" s="66">
        <f t="shared" si="72"/>
        <v>0</v>
      </c>
      <c r="BY89" s="66">
        <f t="shared" si="72"/>
        <v>0</v>
      </c>
      <c r="BZ89" s="66">
        <f t="shared" si="73"/>
        <v>0</v>
      </c>
      <c r="CA89" s="66"/>
      <c r="CB89" s="66">
        <f t="shared" si="74"/>
        <v>2676677</v>
      </c>
      <c r="CC89" s="22">
        <f t="shared" si="58"/>
        <v>0.4377433778086775</v>
      </c>
      <c r="CD89" s="66">
        <f t="shared" si="75"/>
        <v>930475314</v>
      </c>
      <c r="CE89" s="66"/>
      <c r="CF89" s="66"/>
      <c r="CG89" s="66"/>
      <c r="CH89" s="66"/>
      <c r="CI89" s="66"/>
      <c r="CJ89" s="66"/>
      <c r="CK89" s="66"/>
      <c r="CL89" s="66"/>
      <c r="CM89" s="66"/>
      <c r="CN89" s="66"/>
      <c r="CO89" s="66"/>
      <c r="CP89" s="66"/>
      <c r="CQ89" s="66"/>
      <c r="CR89" s="66"/>
      <c r="CS89" s="66"/>
      <c r="CT89" s="66">
        <f>+'[1]OCTUBRE 2019'!$H$4491-DA89</f>
        <v>925151991</v>
      </c>
      <c r="CU89" s="66"/>
      <c r="CV89" s="66"/>
      <c r="CW89" s="66"/>
      <c r="CX89" s="66"/>
      <c r="CY89" s="66"/>
      <c r="CZ89" s="66"/>
      <c r="DA89" s="66">
        <f>+'[1]OCTUBRE 2019'!$H$4498+'[1]OCTUBRE 2019'!$H$4499+'[1]OCTUBRE 2019'!$H$4563+'[1]OCTUBRE 2019'!$H$4565+'[1]OCTUBRE 2019'!$H$4566+'[1]OCTUBRE 2019'!$H$4567+'[1]OCTUBRE 2019'!$H$4581+'[1]OCTUBRE 2019'!$H$4582+'[1]OCTUBRE 2019'!$H$4592+'[1]OCTUBRE 2019'!$H$4593+'[1]OCTUBRE 2019'!$H$4595+'[1]OCTUBRE 2019'!$H$4596</f>
        <v>5323323</v>
      </c>
      <c r="DB89" s="22">
        <f t="shared" si="59"/>
        <v>0.56225662219132255</v>
      </c>
      <c r="DC89" s="66">
        <f t="shared" si="76"/>
        <v>1195142939</v>
      </c>
      <c r="DD89" s="66">
        <f t="shared" si="77"/>
        <v>0</v>
      </c>
      <c r="DE89" s="66">
        <f t="shared" si="77"/>
        <v>0</v>
      </c>
      <c r="DF89" s="66"/>
      <c r="DG89" s="66">
        <f t="shared" si="78"/>
        <v>0</v>
      </c>
      <c r="DH89" s="66">
        <f t="shared" si="78"/>
        <v>0</v>
      </c>
      <c r="DI89" s="66">
        <f t="shared" si="78"/>
        <v>0</v>
      </c>
      <c r="DJ89" s="66">
        <f t="shared" si="78"/>
        <v>0</v>
      </c>
      <c r="DK89" s="66">
        <f t="shared" si="78"/>
        <v>0</v>
      </c>
      <c r="DL89" s="66">
        <f t="shared" si="78"/>
        <v>0</v>
      </c>
      <c r="DM89" s="66">
        <f t="shared" si="78"/>
        <v>0</v>
      </c>
      <c r="DN89" s="66">
        <f t="shared" si="78"/>
        <v>0</v>
      </c>
      <c r="DO89" s="66">
        <f t="shared" si="78"/>
        <v>0</v>
      </c>
      <c r="DP89" s="66">
        <f t="shared" si="78"/>
        <v>0</v>
      </c>
      <c r="DQ89" s="66">
        <f t="shared" si="78"/>
        <v>0</v>
      </c>
      <c r="DR89" s="66">
        <f t="shared" si="78"/>
        <v>0</v>
      </c>
      <c r="DS89" s="66">
        <f t="shared" si="78"/>
        <v>1190466262</v>
      </c>
      <c r="DT89" s="66">
        <f t="shared" si="78"/>
        <v>0</v>
      </c>
      <c r="DU89" s="66">
        <f t="shared" si="78"/>
        <v>0</v>
      </c>
      <c r="DV89" s="66">
        <f t="shared" si="78"/>
        <v>0</v>
      </c>
      <c r="DW89" s="66">
        <f t="shared" si="79"/>
        <v>0</v>
      </c>
      <c r="DX89" s="66">
        <f t="shared" si="79"/>
        <v>0</v>
      </c>
      <c r="DY89" s="66"/>
      <c r="DZ89" s="66">
        <f t="shared" si="80"/>
        <v>4676677</v>
      </c>
      <c r="EC89" s="173">
        <v>2125618253</v>
      </c>
      <c r="ED89" s="173">
        <v>930475314</v>
      </c>
      <c r="EE89" s="174">
        <f t="shared" si="52"/>
        <v>0.4377433778086775</v>
      </c>
    </row>
    <row r="90" spans="1:135" ht="42" hidden="1" customHeight="1" x14ac:dyDescent="0.3">
      <c r="A90" s="218"/>
      <c r="B90" s="210"/>
      <c r="C90" s="101" t="s">
        <v>160</v>
      </c>
      <c r="D90" s="71" t="s">
        <v>159</v>
      </c>
      <c r="E90" s="124">
        <v>520</v>
      </c>
      <c r="F90" s="67" t="s">
        <v>127</v>
      </c>
      <c r="G90" s="66">
        <f t="shared" si="67"/>
        <v>12000000</v>
      </c>
      <c r="H90" s="35"/>
      <c r="I90" s="35"/>
      <c r="J90" s="35"/>
      <c r="K90" s="35"/>
      <c r="L90" s="35"/>
      <c r="M90" s="35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>
        <v>12000000</v>
      </c>
      <c r="Y90" s="66"/>
      <c r="Z90" s="66"/>
      <c r="AA90" s="66"/>
      <c r="AB90" s="66"/>
      <c r="AC90" s="66"/>
      <c r="AD90" s="66"/>
      <c r="AE90" s="22">
        <f t="shared" si="81"/>
        <v>0.83888891666666665</v>
      </c>
      <c r="AF90" s="66">
        <f t="shared" si="68"/>
        <v>10066667</v>
      </c>
      <c r="AG90" s="66"/>
      <c r="AH90" s="66"/>
      <c r="AI90" s="66"/>
      <c r="AJ90" s="66"/>
      <c r="AK90" s="66"/>
      <c r="AL90" s="66"/>
      <c r="AM90" s="66"/>
      <c r="AN90" s="66"/>
      <c r="AO90" s="66"/>
      <c r="AP90" s="66"/>
      <c r="AQ90" s="66"/>
      <c r="AR90" s="66"/>
      <c r="AS90" s="66"/>
      <c r="AT90" s="66"/>
      <c r="AU90" s="66"/>
      <c r="AV90" s="66"/>
      <c r="AW90" s="66">
        <f>+'[9]ENERO 2019'!$Y$1162</f>
        <v>10066667</v>
      </c>
      <c r="AX90" s="66"/>
      <c r="AY90" s="66"/>
      <c r="AZ90" s="66"/>
      <c r="BA90" s="66"/>
      <c r="BB90" s="66"/>
      <c r="BC90" s="66"/>
      <c r="BD90" s="22">
        <f t="shared" si="57"/>
        <v>0.16111108333333335</v>
      </c>
      <c r="BE90" s="66">
        <f t="shared" si="69"/>
        <v>1933333</v>
      </c>
      <c r="BF90" s="66">
        <f t="shared" si="70"/>
        <v>0</v>
      </c>
      <c r="BG90" s="66">
        <f t="shared" si="70"/>
        <v>0</v>
      </c>
      <c r="BH90" s="66">
        <f t="shared" si="70"/>
        <v>0</v>
      </c>
      <c r="BI90" s="66">
        <f t="shared" si="71"/>
        <v>0</v>
      </c>
      <c r="BJ90" s="66">
        <f t="shared" si="72"/>
        <v>0</v>
      </c>
      <c r="BK90" s="66">
        <f t="shared" si="72"/>
        <v>0</v>
      </c>
      <c r="BL90" s="66">
        <f t="shared" si="72"/>
        <v>0</v>
      </c>
      <c r="BM90" s="66">
        <f t="shared" si="72"/>
        <v>0</v>
      </c>
      <c r="BN90" s="66">
        <f t="shared" si="72"/>
        <v>0</v>
      </c>
      <c r="BO90" s="66">
        <f t="shared" si="72"/>
        <v>0</v>
      </c>
      <c r="BP90" s="66">
        <f t="shared" si="72"/>
        <v>0</v>
      </c>
      <c r="BQ90" s="66">
        <f t="shared" si="72"/>
        <v>0</v>
      </c>
      <c r="BR90" s="66">
        <f t="shared" si="72"/>
        <v>0</v>
      </c>
      <c r="BS90" s="66">
        <f t="shared" si="72"/>
        <v>0</v>
      </c>
      <c r="BT90" s="66">
        <f t="shared" si="72"/>
        <v>0</v>
      </c>
      <c r="BU90" s="66">
        <f t="shared" si="72"/>
        <v>0</v>
      </c>
      <c r="BV90" s="66">
        <f t="shared" si="72"/>
        <v>1933333</v>
      </c>
      <c r="BW90" s="66">
        <f t="shared" si="72"/>
        <v>0</v>
      </c>
      <c r="BX90" s="66">
        <f t="shared" si="72"/>
        <v>0</v>
      </c>
      <c r="BY90" s="66">
        <f t="shared" si="72"/>
        <v>0</v>
      </c>
      <c r="BZ90" s="66">
        <f t="shared" si="73"/>
        <v>0</v>
      </c>
      <c r="CA90" s="66"/>
      <c r="CB90" s="66">
        <f t="shared" si="74"/>
        <v>0</v>
      </c>
      <c r="CC90" s="22">
        <f t="shared" si="58"/>
        <v>0.83766358333333335</v>
      </c>
      <c r="CD90" s="66">
        <f t="shared" si="75"/>
        <v>10051963</v>
      </c>
      <c r="CE90" s="66"/>
      <c r="CF90" s="66"/>
      <c r="CG90" s="66"/>
      <c r="CH90" s="66"/>
      <c r="CI90" s="66"/>
      <c r="CJ90" s="66"/>
      <c r="CK90" s="66"/>
      <c r="CL90" s="66"/>
      <c r="CM90" s="66"/>
      <c r="CN90" s="66"/>
      <c r="CO90" s="66"/>
      <c r="CP90" s="66"/>
      <c r="CQ90" s="66"/>
      <c r="CR90" s="66"/>
      <c r="CS90" s="66"/>
      <c r="CT90" s="66"/>
      <c r="CU90" s="66">
        <f>+'[9]ENERO 2019'!$H$1160</f>
        <v>10051963</v>
      </c>
      <c r="CV90" s="66"/>
      <c r="CW90" s="66"/>
      <c r="CX90" s="66"/>
      <c r="CY90" s="66"/>
      <c r="CZ90" s="66"/>
      <c r="DA90" s="66"/>
      <c r="DB90" s="22">
        <f t="shared" si="59"/>
        <v>0.16233641666666665</v>
      </c>
      <c r="DC90" s="66">
        <f t="shared" si="76"/>
        <v>1948037</v>
      </c>
      <c r="DD90" s="66">
        <f t="shared" si="77"/>
        <v>0</v>
      </c>
      <c r="DE90" s="66">
        <f t="shared" si="77"/>
        <v>0</v>
      </c>
      <c r="DF90" s="66"/>
      <c r="DG90" s="66">
        <f t="shared" si="78"/>
        <v>0</v>
      </c>
      <c r="DH90" s="66">
        <f t="shared" si="78"/>
        <v>0</v>
      </c>
      <c r="DI90" s="66">
        <f t="shared" si="78"/>
        <v>0</v>
      </c>
      <c r="DJ90" s="66">
        <f t="shared" si="78"/>
        <v>0</v>
      </c>
      <c r="DK90" s="66">
        <f t="shared" si="78"/>
        <v>0</v>
      </c>
      <c r="DL90" s="66">
        <f t="shared" si="78"/>
        <v>0</v>
      </c>
      <c r="DM90" s="66">
        <f t="shared" si="78"/>
        <v>0</v>
      </c>
      <c r="DN90" s="66">
        <f t="shared" si="78"/>
        <v>0</v>
      </c>
      <c r="DO90" s="66">
        <f t="shared" si="78"/>
        <v>0</v>
      </c>
      <c r="DP90" s="66">
        <f t="shared" si="78"/>
        <v>0</v>
      </c>
      <c r="DQ90" s="66">
        <f t="shared" si="78"/>
        <v>0</v>
      </c>
      <c r="DR90" s="66">
        <f t="shared" si="78"/>
        <v>0</v>
      </c>
      <c r="DS90" s="66">
        <f t="shared" si="78"/>
        <v>0</v>
      </c>
      <c r="DT90" s="66">
        <f t="shared" si="78"/>
        <v>1948037</v>
      </c>
      <c r="DU90" s="66">
        <f t="shared" si="78"/>
        <v>0</v>
      </c>
      <c r="DV90" s="66">
        <f t="shared" si="78"/>
        <v>0</v>
      </c>
      <c r="DW90" s="66">
        <f t="shared" si="79"/>
        <v>0</v>
      </c>
      <c r="DX90" s="66">
        <f t="shared" si="79"/>
        <v>0</v>
      </c>
      <c r="DY90" s="66"/>
      <c r="DZ90" s="66">
        <f t="shared" si="80"/>
        <v>0</v>
      </c>
      <c r="EC90" s="173">
        <v>12000000</v>
      </c>
      <c r="ED90" s="173">
        <v>10051963</v>
      </c>
      <c r="EE90" s="174">
        <f t="shared" si="52"/>
        <v>0.83766358333333335</v>
      </c>
    </row>
    <row r="91" spans="1:135" ht="29.4" hidden="1" customHeight="1" x14ac:dyDescent="0.3">
      <c r="A91" s="218"/>
      <c r="B91" s="210"/>
      <c r="C91" s="101" t="s">
        <v>158</v>
      </c>
      <c r="D91" s="71" t="s">
        <v>157</v>
      </c>
      <c r="E91" s="124">
        <v>520</v>
      </c>
      <c r="F91" s="67" t="s">
        <v>127</v>
      </c>
      <c r="G91" s="66">
        <f t="shared" si="67"/>
        <v>15000000</v>
      </c>
      <c r="H91" s="35"/>
      <c r="I91" s="35">
        <f>250000000-100000000-150000000</f>
        <v>0</v>
      </c>
      <c r="J91" s="35"/>
      <c r="K91" s="35"/>
      <c r="L91" s="35"/>
      <c r="M91" s="35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>
        <f>15000000+15000000-15000000</f>
        <v>15000000</v>
      </c>
      <c r="AE91" s="22">
        <f t="shared" si="81"/>
        <v>0.57488740000000005</v>
      </c>
      <c r="AF91" s="66">
        <f t="shared" si="68"/>
        <v>8623311</v>
      </c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66"/>
      <c r="AS91" s="66"/>
      <c r="AT91" s="66"/>
      <c r="AU91" s="66"/>
      <c r="AV91" s="66"/>
      <c r="AW91" s="66"/>
      <c r="AX91" s="66"/>
      <c r="AY91" s="66"/>
      <c r="AZ91" s="66"/>
      <c r="BA91" s="66"/>
      <c r="BB91" s="66"/>
      <c r="BC91" s="66">
        <f>+'[1]OCTUBRE 2019'!$AG$4625</f>
        <v>8623311</v>
      </c>
      <c r="BD91" s="22">
        <f t="shared" si="57"/>
        <v>0.42511259999999995</v>
      </c>
      <c r="BE91" s="66">
        <f t="shared" si="69"/>
        <v>6376689</v>
      </c>
      <c r="BF91" s="66">
        <f t="shared" si="70"/>
        <v>0</v>
      </c>
      <c r="BG91" s="66">
        <f t="shared" si="70"/>
        <v>0</v>
      </c>
      <c r="BH91" s="66">
        <f t="shared" si="70"/>
        <v>0</v>
      </c>
      <c r="BI91" s="66">
        <f t="shared" si="71"/>
        <v>0</v>
      </c>
      <c r="BJ91" s="66">
        <f t="shared" si="72"/>
        <v>0</v>
      </c>
      <c r="BK91" s="66">
        <f t="shared" si="72"/>
        <v>0</v>
      </c>
      <c r="BL91" s="66">
        <f t="shared" si="72"/>
        <v>0</v>
      </c>
      <c r="BM91" s="66">
        <f t="shared" si="72"/>
        <v>0</v>
      </c>
      <c r="BN91" s="66">
        <f t="shared" si="72"/>
        <v>0</v>
      </c>
      <c r="BO91" s="66">
        <f t="shared" si="72"/>
        <v>0</v>
      </c>
      <c r="BP91" s="66">
        <f t="shared" si="72"/>
        <v>0</v>
      </c>
      <c r="BQ91" s="66">
        <f t="shared" si="72"/>
        <v>0</v>
      </c>
      <c r="BR91" s="66">
        <f t="shared" si="72"/>
        <v>0</v>
      </c>
      <c r="BS91" s="66">
        <f t="shared" si="72"/>
        <v>0</v>
      </c>
      <c r="BT91" s="66">
        <f t="shared" si="72"/>
        <v>0</v>
      </c>
      <c r="BU91" s="66">
        <f t="shared" si="72"/>
        <v>0</v>
      </c>
      <c r="BV91" s="66">
        <f t="shared" si="72"/>
        <v>0</v>
      </c>
      <c r="BW91" s="66">
        <f t="shared" si="72"/>
        <v>0</v>
      </c>
      <c r="BX91" s="66">
        <f t="shared" si="72"/>
        <v>0</v>
      </c>
      <c r="BY91" s="66">
        <f t="shared" si="72"/>
        <v>0</v>
      </c>
      <c r="BZ91" s="66">
        <f t="shared" si="73"/>
        <v>0</v>
      </c>
      <c r="CA91" s="66"/>
      <c r="CB91" s="66">
        <f t="shared" si="74"/>
        <v>6376689</v>
      </c>
      <c r="CC91" s="22">
        <f t="shared" si="58"/>
        <v>0.57488740000000005</v>
      </c>
      <c r="CD91" s="66">
        <f t="shared" si="75"/>
        <v>8623311</v>
      </c>
      <c r="CE91" s="66"/>
      <c r="CF91" s="66"/>
      <c r="CG91" s="66"/>
      <c r="CH91" s="66"/>
      <c r="CI91" s="66"/>
      <c r="CJ91" s="66"/>
      <c r="CK91" s="66"/>
      <c r="CL91" s="66"/>
      <c r="CM91" s="66"/>
      <c r="CN91" s="66"/>
      <c r="CO91" s="66"/>
      <c r="CP91" s="66"/>
      <c r="CQ91" s="66"/>
      <c r="CR91" s="66"/>
      <c r="CS91" s="66"/>
      <c r="CT91" s="66"/>
      <c r="CU91" s="66"/>
      <c r="CV91" s="66"/>
      <c r="CW91" s="66"/>
      <c r="CX91" s="66"/>
      <c r="CY91" s="66"/>
      <c r="CZ91" s="66"/>
      <c r="DA91" s="66">
        <f>+'[1]OCTUBRE 2019'!$H$4623</f>
        <v>8623311</v>
      </c>
      <c r="DB91" s="22">
        <f t="shared" si="59"/>
        <v>0.42511259999999995</v>
      </c>
      <c r="DC91" s="66">
        <f t="shared" si="76"/>
        <v>6376689</v>
      </c>
      <c r="DD91" s="66">
        <f t="shared" si="77"/>
        <v>0</v>
      </c>
      <c r="DE91" s="66">
        <f t="shared" si="77"/>
        <v>0</v>
      </c>
      <c r="DF91" s="66"/>
      <c r="DG91" s="66">
        <f t="shared" si="78"/>
        <v>0</v>
      </c>
      <c r="DH91" s="66">
        <f t="shared" si="78"/>
        <v>0</v>
      </c>
      <c r="DI91" s="66">
        <f t="shared" si="78"/>
        <v>0</v>
      </c>
      <c r="DJ91" s="66">
        <f t="shared" si="78"/>
        <v>0</v>
      </c>
      <c r="DK91" s="66">
        <f t="shared" si="78"/>
        <v>0</v>
      </c>
      <c r="DL91" s="66">
        <f t="shared" si="78"/>
        <v>0</v>
      </c>
      <c r="DM91" s="66">
        <f t="shared" si="78"/>
        <v>0</v>
      </c>
      <c r="DN91" s="66">
        <f t="shared" si="78"/>
        <v>0</v>
      </c>
      <c r="DO91" s="66">
        <f t="shared" si="78"/>
        <v>0</v>
      </c>
      <c r="DP91" s="66">
        <f t="shared" si="78"/>
        <v>0</v>
      </c>
      <c r="DQ91" s="66">
        <f t="shared" si="78"/>
        <v>0</v>
      </c>
      <c r="DR91" s="66">
        <f t="shared" si="78"/>
        <v>0</v>
      </c>
      <c r="DS91" s="66">
        <f t="shared" si="78"/>
        <v>0</v>
      </c>
      <c r="DT91" s="66">
        <f t="shared" si="78"/>
        <v>0</v>
      </c>
      <c r="DU91" s="66">
        <f t="shared" si="78"/>
        <v>0</v>
      </c>
      <c r="DV91" s="66">
        <f t="shared" si="78"/>
        <v>0</v>
      </c>
      <c r="DW91" s="66">
        <f t="shared" si="79"/>
        <v>0</v>
      </c>
      <c r="DX91" s="66">
        <f t="shared" si="79"/>
        <v>0</v>
      </c>
      <c r="DY91" s="66"/>
      <c r="DZ91" s="66">
        <f t="shared" si="80"/>
        <v>6376689</v>
      </c>
      <c r="EC91" s="173">
        <v>15000000</v>
      </c>
      <c r="ED91" s="173">
        <v>8623311</v>
      </c>
      <c r="EE91" s="174">
        <f t="shared" si="52"/>
        <v>0.57488740000000005</v>
      </c>
    </row>
    <row r="92" spans="1:135" ht="43.8" hidden="1" thickTop="1" x14ac:dyDescent="0.3">
      <c r="A92" s="218"/>
      <c r="B92" s="210"/>
      <c r="C92" s="101" t="s">
        <v>156</v>
      </c>
      <c r="D92" s="71" t="s">
        <v>155</v>
      </c>
      <c r="E92" s="124">
        <v>520</v>
      </c>
      <c r="F92" s="67" t="s">
        <v>127</v>
      </c>
      <c r="G92" s="66">
        <f t="shared" si="67"/>
        <v>0</v>
      </c>
      <c r="H92" s="35"/>
      <c r="I92" s="66"/>
      <c r="J92" s="66"/>
      <c r="K92" s="66"/>
      <c r="L92" s="35"/>
      <c r="M92" s="35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  <c r="AA92" s="66"/>
      <c r="AB92" s="66"/>
      <c r="AC92" s="66"/>
      <c r="AD92" s="66"/>
      <c r="AE92" s="22" t="e">
        <f t="shared" si="81"/>
        <v>#DIV/0!</v>
      </c>
      <c r="AF92" s="66">
        <f t="shared" si="68"/>
        <v>0</v>
      </c>
      <c r="AG92" s="66"/>
      <c r="AH92" s="66"/>
      <c r="AI92" s="66"/>
      <c r="AJ92" s="66"/>
      <c r="AK92" s="66"/>
      <c r="AL92" s="66"/>
      <c r="AM92" s="66"/>
      <c r="AN92" s="66"/>
      <c r="AO92" s="66"/>
      <c r="AP92" s="66"/>
      <c r="AQ92" s="66"/>
      <c r="AR92" s="66"/>
      <c r="AS92" s="66"/>
      <c r="AT92" s="66"/>
      <c r="AU92" s="66"/>
      <c r="AV92" s="66"/>
      <c r="AW92" s="66"/>
      <c r="AX92" s="66"/>
      <c r="AY92" s="66"/>
      <c r="AZ92" s="66"/>
      <c r="BA92" s="66"/>
      <c r="BB92" s="66"/>
      <c r="BC92" s="66"/>
      <c r="BD92" s="22" t="e">
        <f t="shared" si="57"/>
        <v>#DIV/0!</v>
      </c>
      <c r="BE92" s="66">
        <f t="shared" si="69"/>
        <v>0</v>
      </c>
      <c r="BF92" s="66">
        <f t="shared" si="70"/>
        <v>0</v>
      </c>
      <c r="BG92" s="66">
        <f t="shared" si="70"/>
        <v>0</v>
      </c>
      <c r="BH92" s="66">
        <f t="shared" si="70"/>
        <v>0</v>
      </c>
      <c r="BI92" s="66">
        <f t="shared" si="71"/>
        <v>0</v>
      </c>
      <c r="BJ92" s="66">
        <f t="shared" si="72"/>
        <v>0</v>
      </c>
      <c r="BK92" s="66">
        <f t="shared" si="72"/>
        <v>0</v>
      </c>
      <c r="BL92" s="66">
        <f t="shared" si="72"/>
        <v>0</v>
      </c>
      <c r="BM92" s="66">
        <f t="shared" si="72"/>
        <v>0</v>
      </c>
      <c r="BN92" s="66">
        <f t="shared" si="72"/>
        <v>0</v>
      </c>
      <c r="BO92" s="66">
        <f t="shared" si="72"/>
        <v>0</v>
      </c>
      <c r="BP92" s="66">
        <f t="shared" si="72"/>
        <v>0</v>
      </c>
      <c r="BQ92" s="66">
        <f t="shared" si="72"/>
        <v>0</v>
      </c>
      <c r="BR92" s="66">
        <f t="shared" si="72"/>
        <v>0</v>
      </c>
      <c r="BS92" s="66">
        <f t="shared" si="72"/>
        <v>0</v>
      </c>
      <c r="BT92" s="66">
        <f t="shared" si="72"/>
        <v>0</v>
      </c>
      <c r="BU92" s="66">
        <f t="shared" si="72"/>
        <v>0</v>
      </c>
      <c r="BV92" s="66">
        <f t="shared" si="72"/>
        <v>0</v>
      </c>
      <c r="BW92" s="66">
        <f t="shared" si="72"/>
        <v>0</v>
      </c>
      <c r="BX92" s="66">
        <f t="shared" si="72"/>
        <v>0</v>
      </c>
      <c r="BY92" s="66">
        <f t="shared" si="72"/>
        <v>0</v>
      </c>
      <c r="BZ92" s="66">
        <f t="shared" si="73"/>
        <v>0</v>
      </c>
      <c r="CA92" s="66"/>
      <c r="CB92" s="66">
        <f t="shared" si="74"/>
        <v>0</v>
      </c>
      <c r="CC92" s="22" t="e">
        <f t="shared" si="58"/>
        <v>#DIV/0!</v>
      </c>
      <c r="CD92" s="66">
        <f t="shared" si="75"/>
        <v>0</v>
      </c>
      <c r="CE92" s="66"/>
      <c r="CF92" s="66"/>
      <c r="CG92" s="66"/>
      <c r="CH92" s="66"/>
      <c r="CI92" s="66"/>
      <c r="CJ92" s="66"/>
      <c r="CK92" s="66"/>
      <c r="CL92" s="66"/>
      <c r="CM92" s="66"/>
      <c r="CN92" s="66"/>
      <c r="CO92" s="66"/>
      <c r="CP92" s="66"/>
      <c r="CQ92" s="66"/>
      <c r="CR92" s="66"/>
      <c r="CS92" s="66"/>
      <c r="CT92" s="66"/>
      <c r="CU92" s="66"/>
      <c r="CV92" s="66"/>
      <c r="CW92" s="66"/>
      <c r="CX92" s="66"/>
      <c r="CY92" s="66"/>
      <c r="CZ92" s="66"/>
      <c r="DA92" s="66"/>
      <c r="DB92" s="22" t="e">
        <f t="shared" si="59"/>
        <v>#DIV/0!</v>
      </c>
      <c r="DC92" s="66">
        <f t="shared" si="76"/>
        <v>0</v>
      </c>
      <c r="DD92" s="66">
        <f t="shared" si="77"/>
        <v>0</v>
      </c>
      <c r="DE92" s="66">
        <f t="shared" si="77"/>
        <v>0</v>
      </c>
      <c r="DF92" s="66"/>
      <c r="DG92" s="66">
        <f t="shared" si="78"/>
        <v>0</v>
      </c>
      <c r="DH92" s="66">
        <f t="shared" si="78"/>
        <v>0</v>
      </c>
      <c r="DI92" s="66">
        <f t="shared" si="78"/>
        <v>0</v>
      </c>
      <c r="DJ92" s="66">
        <f t="shared" si="78"/>
        <v>0</v>
      </c>
      <c r="DK92" s="66">
        <f t="shared" si="78"/>
        <v>0</v>
      </c>
      <c r="DL92" s="66">
        <f t="shared" si="78"/>
        <v>0</v>
      </c>
      <c r="DM92" s="66">
        <f t="shared" si="78"/>
        <v>0</v>
      </c>
      <c r="DN92" s="66">
        <f t="shared" si="78"/>
        <v>0</v>
      </c>
      <c r="DO92" s="66">
        <f t="shared" si="78"/>
        <v>0</v>
      </c>
      <c r="DP92" s="66">
        <f t="shared" si="78"/>
        <v>0</v>
      </c>
      <c r="DQ92" s="66">
        <f t="shared" si="78"/>
        <v>0</v>
      </c>
      <c r="DR92" s="66">
        <f t="shared" si="78"/>
        <v>0</v>
      </c>
      <c r="DS92" s="66">
        <f t="shared" si="78"/>
        <v>0</v>
      </c>
      <c r="DT92" s="66">
        <f t="shared" si="78"/>
        <v>0</v>
      </c>
      <c r="DU92" s="66">
        <f t="shared" si="78"/>
        <v>0</v>
      </c>
      <c r="DV92" s="66">
        <f t="shared" si="78"/>
        <v>0</v>
      </c>
      <c r="DW92" s="66">
        <f t="shared" si="79"/>
        <v>0</v>
      </c>
      <c r="DX92" s="66">
        <f t="shared" si="79"/>
        <v>0</v>
      </c>
      <c r="DY92" s="66"/>
      <c r="DZ92" s="66">
        <f t="shared" si="80"/>
        <v>0</v>
      </c>
      <c r="EC92" s="173">
        <v>0</v>
      </c>
      <c r="ED92" s="173">
        <v>0</v>
      </c>
      <c r="EE92" s="174" t="e">
        <f t="shared" si="52"/>
        <v>#DIV/0!</v>
      </c>
    </row>
    <row r="93" spans="1:135" ht="29.4" hidden="1" customHeight="1" x14ac:dyDescent="0.3">
      <c r="A93" s="218"/>
      <c r="B93" s="210"/>
      <c r="C93" s="101" t="s">
        <v>154</v>
      </c>
      <c r="D93" s="71" t="s">
        <v>153</v>
      </c>
      <c r="E93" s="124">
        <v>520</v>
      </c>
      <c r="F93" s="67" t="s">
        <v>152</v>
      </c>
      <c r="G93" s="66">
        <f t="shared" si="67"/>
        <v>740144558</v>
      </c>
      <c r="H93" s="35"/>
      <c r="I93" s="35">
        <f>100000000+20000000</f>
        <v>120000000</v>
      </c>
      <c r="J93" s="35"/>
      <c r="K93" s="35"/>
      <c r="L93" s="35"/>
      <c r="M93" s="35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>
        <f>10000000+4000000+4000000</f>
        <v>18000000</v>
      </c>
      <c r="Y93" s="66">
        <v>52565530</v>
      </c>
      <c r="Z93" s="66">
        <f>50000000</f>
        <v>50000000</v>
      </c>
      <c r="AA93" s="66"/>
      <c r="AB93" s="66"/>
      <c r="AC93" s="66"/>
      <c r="AD93" s="66">
        <f>428900527+60000000+45000000+1533333-30000000-6000000+54739+4090429-4000000</f>
        <v>499579028</v>
      </c>
      <c r="AE93" s="22">
        <f t="shared" si="81"/>
        <v>0.9746036314165536</v>
      </c>
      <c r="AF93" s="66">
        <f t="shared" si="68"/>
        <v>721347574</v>
      </c>
      <c r="AG93" s="66"/>
      <c r="AH93" s="66">
        <f>+'[3]JULIO 2019'!$K$3187</f>
        <v>120000000</v>
      </c>
      <c r="AI93" s="66"/>
      <c r="AJ93" s="66"/>
      <c r="AK93" s="66"/>
      <c r="AL93" s="66"/>
      <c r="AM93" s="66"/>
      <c r="AN93" s="66"/>
      <c r="AO93" s="66"/>
      <c r="AP93" s="66"/>
      <c r="AQ93" s="66"/>
      <c r="AR93" s="66"/>
      <c r="AS93" s="66"/>
      <c r="AT93" s="66"/>
      <c r="AU93" s="66"/>
      <c r="AV93" s="66"/>
      <c r="AW93" s="66">
        <f>+'[3]JULIO 2019'!$Y$3187</f>
        <v>18000000</v>
      </c>
      <c r="AX93" s="66">
        <f>+'[4]JUNIO 2019'!$Z$2604</f>
        <v>52565530</v>
      </c>
      <c r="AY93" s="66">
        <f>+'[2]SEPTIEMBRE 2019'!$AB$4178</f>
        <v>50000000</v>
      </c>
      <c r="AZ93" s="66"/>
      <c r="BA93" s="66"/>
      <c r="BB93" s="66"/>
      <c r="BC93" s="66">
        <f>+'[1]OCTUBRE 2019'!$AG$4649</f>
        <v>480782044</v>
      </c>
      <c r="BD93" s="22">
        <f t="shared" si="57"/>
        <v>2.5396368583446405E-2</v>
      </c>
      <c r="BE93" s="66">
        <f t="shared" si="69"/>
        <v>18796984</v>
      </c>
      <c r="BF93" s="66">
        <f t="shared" si="70"/>
        <v>0</v>
      </c>
      <c r="BG93" s="66">
        <f t="shared" si="70"/>
        <v>0</v>
      </c>
      <c r="BH93" s="66">
        <f t="shared" si="70"/>
        <v>0</v>
      </c>
      <c r="BI93" s="66">
        <f t="shared" si="71"/>
        <v>0</v>
      </c>
      <c r="BJ93" s="66">
        <f t="shared" si="72"/>
        <v>0</v>
      </c>
      <c r="BK93" s="66">
        <f t="shared" si="72"/>
        <v>0</v>
      </c>
      <c r="BL93" s="66">
        <f t="shared" si="72"/>
        <v>0</v>
      </c>
      <c r="BM93" s="66">
        <f t="shared" si="72"/>
        <v>0</v>
      </c>
      <c r="BN93" s="66">
        <f t="shared" si="72"/>
        <v>0</v>
      </c>
      <c r="BO93" s="66">
        <f t="shared" si="72"/>
        <v>0</v>
      </c>
      <c r="BP93" s="66">
        <f t="shared" si="72"/>
        <v>0</v>
      </c>
      <c r="BQ93" s="66">
        <f t="shared" si="72"/>
        <v>0</v>
      </c>
      <c r="BR93" s="66">
        <f t="shared" si="72"/>
        <v>0</v>
      </c>
      <c r="BS93" s="66">
        <f t="shared" si="72"/>
        <v>0</v>
      </c>
      <c r="BT93" s="66">
        <f t="shared" si="72"/>
        <v>0</v>
      </c>
      <c r="BU93" s="66">
        <f t="shared" si="72"/>
        <v>0</v>
      </c>
      <c r="BV93" s="66">
        <f t="shared" si="72"/>
        <v>0</v>
      </c>
      <c r="BW93" s="66">
        <f t="shared" si="72"/>
        <v>0</v>
      </c>
      <c r="BX93" s="66">
        <f t="shared" si="72"/>
        <v>0</v>
      </c>
      <c r="BY93" s="66">
        <f t="shared" si="72"/>
        <v>0</v>
      </c>
      <c r="BZ93" s="66">
        <f t="shared" si="73"/>
        <v>0</v>
      </c>
      <c r="CA93" s="66"/>
      <c r="CB93" s="66">
        <f t="shared" si="74"/>
        <v>18796984</v>
      </c>
      <c r="CC93" s="22">
        <f t="shared" si="58"/>
        <v>0.93985438449984526</v>
      </c>
      <c r="CD93" s="66">
        <f t="shared" si="75"/>
        <v>695628108</v>
      </c>
      <c r="CE93" s="66"/>
      <c r="CF93" s="66">
        <f>+'[7]AGOSTO 2019'!$H$3677+'[7]AGOSTO 2019'!$K$3726</f>
        <v>120000000</v>
      </c>
      <c r="CG93" s="66"/>
      <c r="CH93" s="66"/>
      <c r="CI93" s="66"/>
      <c r="CJ93" s="66"/>
      <c r="CK93" s="66"/>
      <c r="CL93" s="66"/>
      <c r="CM93" s="66"/>
      <c r="CN93" s="66"/>
      <c r="CO93" s="66"/>
      <c r="CP93" s="66"/>
      <c r="CQ93" s="66"/>
      <c r="CR93" s="66"/>
      <c r="CS93" s="66"/>
      <c r="CT93" s="66"/>
      <c r="CU93" s="66">
        <f>+'[2]SEPTIEMBRE 2019'!$H$4246+'[2]SEPTIEMBRE 2019'!$Z$4283-'[2]SEPTIEMBRE 2019'!$I$4283</f>
        <v>12199995</v>
      </c>
      <c r="CV93" s="66">
        <f>+'[2]SEPTIEMBRE 2019'!$H$4265</f>
        <v>51900000</v>
      </c>
      <c r="CW93" s="66">
        <f>+'[1]OCTUBRE 2019'!$H$4780</f>
        <v>46993332</v>
      </c>
      <c r="CX93" s="66"/>
      <c r="CY93" s="66"/>
      <c r="CZ93" s="66"/>
      <c r="DA93" s="66">
        <f>'[1]OCTUBRE 2019'!$H$4647-CW93-CV93-CU93-CF93</f>
        <v>464534781</v>
      </c>
      <c r="DB93" s="22">
        <f t="shared" si="59"/>
        <v>6.0145615500154737E-2</v>
      </c>
      <c r="DC93" s="66">
        <f t="shared" si="76"/>
        <v>44516450</v>
      </c>
      <c r="DD93" s="66">
        <f t="shared" si="77"/>
        <v>0</v>
      </c>
      <c r="DE93" s="66">
        <f t="shared" si="77"/>
        <v>0</v>
      </c>
      <c r="DF93" s="66"/>
      <c r="DG93" s="66">
        <f t="shared" si="78"/>
        <v>0</v>
      </c>
      <c r="DH93" s="66">
        <f t="shared" si="78"/>
        <v>0</v>
      </c>
      <c r="DI93" s="66">
        <f t="shared" si="78"/>
        <v>0</v>
      </c>
      <c r="DJ93" s="66">
        <f t="shared" si="78"/>
        <v>0</v>
      </c>
      <c r="DK93" s="66">
        <f t="shared" si="78"/>
        <v>0</v>
      </c>
      <c r="DL93" s="66">
        <f t="shared" si="78"/>
        <v>0</v>
      </c>
      <c r="DM93" s="66">
        <f t="shared" si="78"/>
        <v>0</v>
      </c>
      <c r="DN93" s="66">
        <f t="shared" si="78"/>
        <v>0</v>
      </c>
      <c r="DO93" s="66">
        <f t="shared" si="78"/>
        <v>0</v>
      </c>
      <c r="DP93" s="66">
        <f t="shared" si="78"/>
        <v>0</v>
      </c>
      <c r="DQ93" s="66">
        <f t="shared" si="78"/>
        <v>0</v>
      </c>
      <c r="DR93" s="66">
        <f t="shared" si="78"/>
        <v>0</v>
      </c>
      <c r="DS93" s="66">
        <f t="shared" si="78"/>
        <v>0</v>
      </c>
      <c r="DT93" s="66">
        <f t="shared" si="78"/>
        <v>5800005</v>
      </c>
      <c r="DU93" s="66">
        <f t="shared" si="78"/>
        <v>665530</v>
      </c>
      <c r="DV93" s="66">
        <f t="shared" si="78"/>
        <v>3006668</v>
      </c>
      <c r="DW93" s="66">
        <f t="shared" si="79"/>
        <v>0</v>
      </c>
      <c r="DX93" s="66">
        <f t="shared" si="79"/>
        <v>0</v>
      </c>
      <c r="DY93" s="66"/>
      <c r="DZ93" s="66">
        <f t="shared" si="80"/>
        <v>35044247</v>
      </c>
      <c r="EC93" s="173">
        <v>740144558</v>
      </c>
      <c r="ED93" s="173">
        <v>695628108</v>
      </c>
      <c r="EE93" s="174">
        <f t="shared" si="52"/>
        <v>0.93985438449984526</v>
      </c>
    </row>
    <row r="94" spans="1:135" ht="32.4" hidden="1" customHeight="1" x14ac:dyDescent="0.3">
      <c r="A94" s="111"/>
      <c r="B94" s="210"/>
      <c r="C94" s="101" t="s">
        <v>151</v>
      </c>
      <c r="D94" s="69" t="s">
        <v>150</v>
      </c>
      <c r="E94" s="124">
        <v>520</v>
      </c>
      <c r="F94" s="67" t="s">
        <v>149</v>
      </c>
      <c r="G94" s="66">
        <f t="shared" si="67"/>
        <v>6000000</v>
      </c>
      <c r="H94" s="35"/>
      <c r="I94" s="35"/>
      <c r="J94" s="35"/>
      <c r="K94" s="35"/>
      <c r="L94" s="35"/>
      <c r="M94" s="35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>
        <f>10000000-4000000</f>
        <v>6000000</v>
      </c>
      <c r="Y94" s="66"/>
      <c r="Z94" s="66"/>
      <c r="AA94" s="66"/>
      <c r="AB94" s="66"/>
      <c r="AC94" s="66"/>
      <c r="AD94" s="66"/>
      <c r="AE94" s="22">
        <f t="shared" si="81"/>
        <v>0.85833333333333328</v>
      </c>
      <c r="AF94" s="66">
        <f t="shared" si="68"/>
        <v>5150000</v>
      </c>
      <c r="AG94" s="66"/>
      <c r="AH94" s="66"/>
      <c r="AI94" s="66"/>
      <c r="AJ94" s="66"/>
      <c r="AK94" s="66"/>
      <c r="AL94" s="66"/>
      <c r="AM94" s="66"/>
      <c r="AN94" s="66"/>
      <c r="AO94" s="66"/>
      <c r="AP94" s="66"/>
      <c r="AQ94" s="66"/>
      <c r="AR94" s="66"/>
      <c r="AS94" s="66"/>
      <c r="AT94" s="66"/>
      <c r="AU94" s="66"/>
      <c r="AV94" s="66"/>
      <c r="AW94" s="66">
        <f>+'[1]OCTUBRE 2019'!$Z$4799</f>
        <v>5150000</v>
      </c>
      <c r="AX94" s="66"/>
      <c r="AY94" s="66"/>
      <c r="AZ94" s="66"/>
      <c r="BA94" s="66"/>
      <c r="BB94" s="66"/>
      <c r="BC94" s="66"/>
      <c r="BD94" s="22">
        <f t="shared" si="57"/>
        <v>0.14166666666666672</v>
      </c>
      <c r="BE94" s="66">
        <f t="shared" si="69"/>
        <v>850000</v>
      </c>
      <c r="BF94" s="66">
        <f t="shared" si="70"/>
        <v>0</v>
      </c>
      <c r="BG94" s="66">
        <f t="shared" si="70"/>
        <v>0</v>
      </c>
      <c r="BH94" s="66">
        <f t="shared" si="70"/>
        <v>0</v>
      </c>
      <c r="BI94" s="66">
        <f t="shared" si="71"/>
        <v>0</v>
      </c>
      <c r="BJ94" s="66">
        <f t="shared" si="72"/>
        <v>0</v>
      </c>
      <c r="BK94" s="66">
        <f t="shared" si="72"/>
        <v>0</v>
      </c>
      <c r="BL94" s="66">
        <f t="shared" si="72"/>
        <v>0</v>
      </c>
      <c r="BM94" s="66">
        <f t="shared" si="72"/>
        <v>0</v>
      </c>
      <c r="BN94" s="66">
        <f t="shared" si="72"/>
        <v>0</v>
      </c>
      <c r="BO94" s="66">
        <f t="shared" si="72"/>
        <v>0</v>
      </c>
      <c r="BP94" s="66">
        <f t="shared" si="72"/>
        <v>0</v>
      </c>
      <c r="BQ94" s="66">
        <f t="shared" si="72"/>
        <v>0</v>
      </c>
      <c r="BR94" s="66">
        <f t="shared" si="72"/>
        <v>0</v>
      </c>
      <c r="BS94" s="66">
        <f t="shared" si="72"/>
        <v>0</v>
      </c>
      <c r="BT94" s="66">
        <f t="shared" si="72"/>
        <v>0</v>
      </c>
      <c r="BU94" s="66">
        <f t="shared" si="72"/>
        <v>0</v>
      </c>
      <c r="BV94" s="66">
        <f t="shared" si="72"/>
        <v>850000</v>
      </c>
      <c r="BW94" s="66">
        <f t="shared" si="72"/>
        <v>0</v>
      </c>
      <c r="BX94" s="66">
        <f t="shared" si="72"/>
        <v>0</v>
      </c>
      <c r="BY94" s="66">
        <f t="shared" si="72"/>
        <v>0</v>
      </c>
      <c r="BZ94" s="66">
        <f t="shared" si="73"/>
        <v>0</v>
      </c>
      <c r="CA94" s="66"/>
      <c r="CB94" s="66">
        <f t="shared" si="74"/>
        <v>0</v>
      </c>
      <c r="CC94" s="22">
        <f t="shared" si="58"/>
        <v>0.85833333333333328</v>
      </c>
      <c r="CD94" s="66">
        <f t="shared" si="75"/>
        <v>5150000</v>
      </c>
      <c r="CE94" s="66"/>
      <c r="CF94" s="66"/>
      <c r="CG94" s="66"/>
      <c r="CH94" s="66"/>
      <c r="CI94" s="66"/>
      <c r="CJ94" s="66"/>
      <c r="CK94" s="66"/>
      <c r="CL94" s="66"/>
      <c r="CM94" s="66"/>
      <c r="CN94" s="66"/>
      <c r="CO94" s="66"/>
      <c r="CP94" s="66"/>
      <c r="CQ94" s="66"/>
      <c r="CR94" s="66"/>
      <c r="CS94" s="66"/>
      <c r="CT94" s="66"/>
      <c r="CU94" s="66">
        <f>+'[1]OCTUBRE 2019'!$H$4797</f>
        <v>5150000</v>
      </c>
      <c r="CV94" s="66"/>
      <c r="CW94" s="66"/>
      <c r="CX94" s="66"/>
      <c r="CY94" s="66"/>
      <c r="CZ94" s="66"/>
      <c r="DA94" s="66"/>
      <c r="DB94" s="22">
        <f t="shared" si="59"/>
        <v>0.14166666666666672</v>
      </c>
      <c r="DC94" s="66">
        <f t="shared" si="76"/>
        <v>850000</v>
      </c>
      <c r="DD94" s="66">
        <f t="shared" si="77"/>
        <v>0</v>
      </c>
      <c r="DE94" s="66">
        <f t="shared" si="77"/>
        <v>0</v>
      </c>
      <c r="DF94" s="66"/>
      <c r="DG94" s="66">
        <f t="shared" si="78"/>
        <v>0</v>
      </c>
      <c r="DH94" s="66">
        <f t="shared" si="78"/>
        <v>0</v>
      </c>
      <c r="DI94" s="66">
        <f t="shared" si="78"/>
        <v>0</v>
      </c>
      <c r="DJ94" s="66">
        <f t="shared" si="78"/>
        <v>0</v>
      </c>
      <c r="DK94" s="66">
        <f t="shared" si="78"/>
        <v>0</v>
      </c>
      <c r="DL94" s="66">
        <f t="shared" si="78"/>
        <v>0</v>
      </c>
      <c r="DM94" s="66">
        <f t="shared" si="78"/>
        <v>0</v>
      </c>
      <c r="DN94" s="66">
        <f t="shared" si="78"/>
        <v>0</v>
      </c>
      <c r="DO94" s="66">
        <f t="shared" si="78"/>
        <v>0</v>
      </c>
      <c r="DP94" s="66">
        <f t="shared" si="78"/>
        <v>0</v>
      </c>
      <c r="DQ94" s="66">
        <f t="shared" si="78"/>
        <v>0</v>
      </c>
      <c r="DR94" s="66">
        <f t="shared" si="78"/>
        <v>0</v>
      </c>
      <c r="DS94" s="66">
        <f t="shared" si="78"/>
        <v>0</v>
      </c>
      <c r="DT94" s="66">
        <f t="shared" si="78"/>
        <v>850000</v>
      </c>
      <c r="DU94" s="66">
        <f t="shared" si="78"/>
        <v>0</v>
      </c>
      <c r="DV94" s="66">
        <f t="shared" si="78"/>
        <v>0</v>
      </c>
      <c r="DW94" s="66">
        <f t="shared" si="79"/>
        <v>0</v>
      </c>
      <c r="DX94" s="66">
        <f t="shared" si="79"/>
        <v>0</v>
      </c>
      <c r="DY94" s="66"/>
      <c r="DZ94" s="66">
        <f t="shared" si="80"/>
        <v>0</v>
      </c>
      <c r="EC94" s="173">
        <v>6000000</v>
      </c>
      <c r="ED94" s="173">
        <v>5150000</v>
      </c>
      <c r="EE94" s="174">
        <f t="shared" si="52"/>
        <v>0.85833333333333328</v>
      </c>
    </row>
    <row r="95" spans="1:135" ht="28.2" hidden="1" customHeight="1" x14ac:dyDescent="0.3">
      <c r="A95" s="111"/>
      <c r="B95" s="210"/>
      <c r="C95" s="101" t="s">
        <v>148</v>
      </c>
      <c r="D95" s="69" t="s">
        <v>147</v>
      </c>
      <c r="E95" s="124">
        <v>520</v>
      </c>
      <c r="F95" s="67" t="s">
        <v>127</v>
      </c>
      <c r="G95" s="66">
        <f t="shared" si="67"/>
        <v>6000000</v>
      </c>
      <c r="H95" s="35"/>
      <c r="I95" s="35"/>
      <c r="J95" s="35"/>
      <c r="K95" s="35"/>
      <c r="L95" s="35"/>
      <c r="M95" s="35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>
        <f>10000000-4000000</f>
        <v>6000000</v>
      </c>
      <c r="Y95" s="66"/>
      <c r="Z95" s="66"/>
      <c r="AA95" s="66"/>
      <c r="AB95" s="66"/>
      <c r="AC95" s="66"/>
      <c r="AD95" s="66"/>
      <c r="AE95" s="22">
        <f t="shared" si="81"/>
        <v>0.53</v>
      </c>
      <c r="AF95" s="66">
        <f t="shared" si="68"/>
        <v>3180000</v>
      </c>
      <c r="AG95" s="66"/>
      <c r="AH95" s="66"/>
      <c r="AI95" s="66"/>
      <c r="AJ95" s="66"/>
      <c r="AK95" s="66"/>
      <c r="AL95" s="66"/>
      <c r="AM95" s="66"/>
      <c r="AN95" s="66"/>
      <c r="AO95" s="66"/>
      <c r="AP95" s="66"/>
      <c r="AQ95" s="66"/>
      <c r="AR95" s="66"/>
      <c r="AS95" s="66"/>
      <c r="AT95" s="66"/>
      <c r="AU95" s="66"/>
      <c r="AV95" s="66"/>
      <c r="AW95" s="66">
        <f>+'[1]OCTUBRE 2019'!$Z$4810</f>
        <v>3180000</v>
      </c>
      <c r="AX95" s="66"/>
      <c r="AY95" s="66"/>
      <c r="AZ95" s="66"/>
      <c r="BA95" s="66"/>
      <c r="BB95" s="66"/>
      <c r="BC95" s="66"/>
      <c r="BD95" s="22">
        <f t="shared" si="57"/>
        <v>0.47</v>
      </c>
      <c r="BE95" s="66">
        <f t="shared" si="69"/>
        <v>2820000</v>
      </c>
      <c r="BF95" s="66">
        <f t="shared" si="70"/>
        <v>0</v>
      </c>
      <c r="BG95" s="66">
        <f t="shared" si="70"/>
        <v>0</v>
      </c>
      <c r="BH95" s="66">
        <f t="shared" si="70"/>
        <v>0</v>
      </c>
      <c r="BI95" s="66">
        <f t="shared" si="71"/>
        <v>0</v>
      </c>
      <c r="BJ95" s="66">
        <f t="shared" si="72"/>
        <v>0</v>
      </c>
      <c r="BK95" s="66">
        <f t="shared" si="72"/>
        <v>0</v>
      </c>
      <c r="BL95" s="66">
        <f t="shared" si="72"/>
        <v>0</v>
      </c>
      <c r="BM95" s="66">
        <f t="shared" si="72"/>
        <v>0</v>
      </c>
      <c r="BN95" s="66">
        <f t="shared" si="72"/>
        <v>0</v>
      </c>
      <c r="BO95" s="66">
        <f t="shared" si="72"/>
        <v>0</v>
      </c>
      <c r="BP95" s="66">
        <f t="shared" si="72"/>
        <v>0</v>
      </c>
      <c r="BQ95" s="66">
        <f t="shared" si="72"/>
        <v>0</v>
      </c>
      <c r="BR95" s="66">
        <f t="shared" si="72"/>
        <v>0</v>
      </c>
      <c r="BS95" s="66">
        <f t="shared" si="72"/>
        <v>0</v>
      </c>
      <c r="BT95" s="66">
        <f t="shared" si="72"/>
        <v>0</v>
      </c>
      <c r="BU95" s="66">
        <f t="shared" si="72"/>
        <v>0</v>
      </c>
      <c r="BV95" s="66">
        <f t="shared" si="72"/>
        <v>2820000</v>
      </c>
      <c r="BW95" s="66">
        <f t="shared" si="72"/>
        <v>0</v>
      </c>
      <c r="BX95" s="66">
        <f t="shared" si="72"/>
        <v>0</v>
      </c>
      <c r="BY95" s="66">
        <f t="shared" si="72"/>
        <v>0</v>
      </c>
      <c r="BZ95" s="66">
        <f t="shared" si="73"/>
        <v>0</v>
      </c>
      <c r="CA95" s="66"/>
      <c r="CB95" s="66">
        <f t="shared" si="74"/>
        <v>0</v>
      </c>
      <c r="CC95" s="22">
        <f t="shared" si="58"/>
        <v>0.53</v>
      </c>
      <c r="CD95" s="66">
        <f t="shared" si="75"/>
        <v>3180000</v>
      </c>
      <c r="CE95" s="66"/>
      <c r="CF95" s="66"/>
      <c r="CG95" s="66"/>
      <c r="CH95" s="66"/>
      <c r="CI95" s="66"/>
      <c r="CJ95" s="66"/>
      <c r="CK95" s="66"/>
      <c r="CL95" s="66"/>
      <c r="CM95" s="66"/>
      <c r="CN95" s="66"/>
      <c r="CO95" s="66"/>
      <c r="CP95" s="66"/>
      <c r="CQ95" s="66"/>
      <c r="CR95" s="66"/>
      <c r="CS95" s="66"/>
      <c r="CT95" s="66"/>
      <c r="CU95" s="66">
        <f>+'[1]OCTUBRE 2019'!$H$4808</f>
        <v>3180000</v>
      </c>
      <c r="CV95" s="66"/>
      <c r="CW95" s="66"/>
      <c r="CX95" s="66"/>
      <c r="CY95" s="66"/>
      <c r="CZ95" s="66"/>
      <c r="DA95" s="66"/>
      <c r="DB95" s="22">
        <f t="shared" si="59"/>
        <v>0.47</v>
      </c>
      <c r="DC95" s="66">
        <f t="shared" si="76"/>
        <v>2820000</v>
      </c>
      <c r="DD95" s="66">
        <f t="shared" si="77"/>
        <v>0</v>
      </c>
      <c r="DE95" s="66">
        <f t="shared" si="77"/>
        <v>0</v>
      </c>
      <c r="DF95" s="66"/>
      <c r="DG95" s="66">
        <f t="shared" si="78"/>
        <v>0</v>
      </c>
      <c r="DH95" s="66">
        <f t="shared" si="78"/>
        <v>0</v>
      </c>
      <c r="DI95" s="66">
        <f t="shared" si="78"/>
        <v>0</v>
      </c>
      <c r="DJ95" s="66">
        <f t="shared" si="78"/>
        <v>0</v>
      </c>
      <c r="DK95" s="66">
        <f t="shared" si="78"/>
        <v>0</v>
      </c>
      <c r="DL95" s="66">
        <f t="shared" si="78"/>
        <v>0</v>
      </c>
      <c r="DM95" s="66">
        <f t="shared" si="78"/>
        <v>0</v>
      </c>
      <c r="DN95" s="66">
        <f t="shared" si="78"/>
        <v>0</v>
      </c>
      <c r="DO95" s="66">
        <f t="shared" si="78"/>
        <v>0</v>
      </c>
      <c r="DP95" s="66">
        <f t="shared" si="78"/>
        <v>0</v>
      </c>
      <c r="DQ95" s="66">
        <f t="shared" si="78"/>
        <v>0</v>
      </c>
      <c r="DR95" s="66">
        <f t="shared" si="78"/>
        <v>0</v>
      </c>
      <c r="DS95" s="66">
        <f t="shared" si="78"/>
        <v>0</v>
      </c>
      <c r="DT95" s="66">
        <f t="shared" si="78"/>
        <v>2820000</v>
      </c>
      <c r="DU95" s="66">
        <f t="shared" si="78"/>
        <v>0</v>
      </c>
      <c r="DV95" s="66">
        <f t="shared" si="78"/>
        <v>0</v>
      </c>
      <c r="DW95" s="66">
        <f t="shared" si="79"/>
        <v>0</v>
      </c>
      <c r="DX95" s="66">
        <f t="shared" si="79"/>
        <v>0</v>
      </c>
      <c r="DY95" s="66"/>
      <c r="DZ95" s="66">
        <f t="shared" si="80"/>
        <v>0</v>
      </c>
      <c r="EC95" s="173">
        <v>6000000</v>
      </c>
      <c r="ED95" s="173">
        <v>3180000</v>
      </c>
      <c r="EE95" s="174">
        <f t="shared" si="52"/>
        <v>0.53</v>
      </c>
    </row>
    <row r="96" spans="1:135" ht="30.6" hidden="1" customHeight="1" x14ac:dyDescent="0.3">
      <c r="A96" s="111"/>
      <c r="B96" s="110"/>
      <c r="C96" s="109" t="s">
        <v>146</v>
      </c>
      <c r="D96" s="69" t="s">
        <v>145</v>
      </c>
      <c r="E96" s="108">
        <v>520</v>
      </c>
      <c r="F96" s="67" t="s">
        <v>127</v>
      </c>
      <c r="G96" s="66">
        <f t="shared" si="67"/>
        <v>260000000</v>
      </c>
      <c r="H96" s="35"/>
      <c r="I96" s="35">
        <f>100000000+150000000-20000000</f>
        <v>230000000</v>
      </c>
      <c r="J96" s="35"/>
      <c r="K96" s="35"/>
      <c r="L96" s="35"/>
      <c r="M96" s="35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>
        <v>30000000</v>
      </c>
      <c r="Z96" s="66"/>
      <c r="AA96" s="66"/>
      <c r="AB96" s="66"/>
      <c r="AC96" s="66"/>
      <c r="AD96" s="66"/>
      <c r="AE96" s="22">
        <f t="shared" si="81"/>
        <v>0.78975746923076928</v>
      </c>
      <c r="AF96" s="66">
        <f t="shared" si="68"/>
        <v>205336942</v>
      </c>
      <c r="AG96" s="66"/>
      <c r="AH96" s="66">
        <f>+'[1]OCTUBRE 2019'!$K$4821</f>
        <v>175738782</v>
      </c>
      <c r="AI96" s="66"/>
      <c r="AJ96" s="66"/>
      <c r="AK96" s="66"/>
      <c r="AL96" s="66"/>
      <c r="AM96" s="66"/>
      <c r="AN96" s="66"/>
      <c r="AO96" s="66"/>
      <c r="AP96" s="66"/>
      <c r="AQ96" s="66"/>
      <c r="AR96" s="66"/>
      <c r="AS96" s="66"/>
      <c r="AT96" s="66"/>
      <c r="AU96" s="66"/>
      <c r="AV96" s="66"/>
      <c r="AW96" s="66"/>
      <c r="AX96" s="66">
        <f>+'[7]AGOSTO 2019'!$Z$3773</f>
        <v>29598160</v>
      </c>
      <c r="AY96" s="66"/>
      <c r="AZ96" s="66"/>
      <c r="BA96" s="66"/>
      <c r="BB96" s="66"/>
      <c r="BC96" s="66"/>
      <c r="BD96" s="22">
        <f t="shared" si="57"/>
        <v>0.21024253076923072</v>
      </c>
      <c r="BE96" s="66">
        <f t="shared" si="69"/>
        <v>54663058</v>
      </c>
      <c r="BF96" s="66">
        <f t="shared" si="70"/>
        <v>0</v>
      </c>
      <c r="BG96" s="66">
        <f t="shared" si="70"/>
        <v>54261218</v>
      </c>
      <c r="BH96" s="66">
        <f t="shared" si="70"/>
        <v>0</v>
      </c>
      <c r="BI96" s="66">
        <f t="shared" si="71"/>
        <v>0</v>
      </c>
      <c r="BJ96" s="66">
        <f t="shared" si="72"/>
        <v>0</v>
      </c>
      <c r="BK96" s="66">
        <f t="shared" si="72"/>
        <v>0</v>
      </c>
      <c r="BL96" s="66">
        <f t="shared" si="72"/>
        <v>0</v>
      </c>
      <c r="BM96" s="66">
        <f t="shared" si="72"/>
        <v>0</v>
      </c>
      <c r="BN96" s="66">
        <f t="shared" si="72"/>
        <v>0</v>
      </c>
      <c r="BO96" s="66">
        <f t="shared" si="72"/>
        <v>0</v>
      </c>
      <c r="BP96" s="66">
        <f t="shared" si="72"/>
        <v>0</v>
      </c>
      <c r="BQ96" s="66">
        <f t="shared" si="72"/>
        <v>0</v>
      </c>
      <c r="BR96" s="66">
        <f t="shared" si="72"/>
        <v>0</v>
      </c>
      <c r="BS96" s="66">
        <f t="shared" si="72"/>
        <v>0</v>
      </c>
      <c r="BT96" s="66">
        <f t="shared" si="72"/>
        <v>0</v>
      </c>
      <c r="BU96" s="66">
        <f t="shared" si="72"/>
        <v>0</v>
      </c>
      <c r="BV96" s="66">
        <f t="shared" si="72"/>
        <v>0</v>
      </c>
      <c r="BW96" s="66">
        <f t="shared" si="72"/>
        <v>401840</v>
      </c>
      <c r="BX96" s="66">
        <f t="shared" si="72"/>
        <v>0</v>
      </c>
      <c r="BY96" s="66">
        <f t="shared" si="72"/>
        <v>0</v>
      </c>
      <c r="BZ96" s="66">
        <f t="shared" si="73"/>
        <v>0</v>
      </c>
      <c r="CA96" s="66"/>
      <c r="CB96" s="66">
        <f t="shared" si="74"/>
        <v>0</v>
      </c>
      <c r="CC96" s="22">
        <f t="shared" si="58"/>
        <v>0.68196445769230774</v>
      </c>
      <c r="CD96" s="66">
        <f t="shared" si="75"/>
        <v>177310759</v>
      </c>
      <c r="CE96" s="66"/>
      <c r="CF96" s="66">
        <f>+'[1]OCTUBRE 2019'!$H$4819-CV96</f>
        <v>148012621</v>
      </c>
      <c r="CG96" s="66"/>
      <c r="CH96" s="66"/>
      <c r="CI96" s="66"/>
      <c r="CJ96" s="66"/>
      <c r="CK96" s="66"/>
      <c r="CL96" s="66"/>
      <c r="CM96" s="66"/>
      <c r="CN96" s="66"/>
      <c r="CO96" s="66"/>
      <c r="CP96" s="66"/>
      <c r="CQ96" s="66"/>
      <c r="CR96" s="66"/>
      <c r="CS96" s="66"/>
      <c r="CT96" s="66"/>
      <c r="CU96" s="66"/>
      <c r="CV96" s="66">
        <f>+'[1]OCTUBRE 2019'!$H$4822+'[1]OCTUBRE 2019'!$H$4825+'[1]OCTUBRE 2019'!$H$4826+'[1]OCTUBRE 2019'!$H$4827+'[1]OCTUBRE 2019'!$H$4846+'[1]OCTUBRE 2019'!$H$4851+'[1]OCTUBRE 2019'!$H$4853+'[1]OCTUBRE 2019'!$H$4854+'[1]OCTUBRE 2019'!$H$4855+'[1]OCTUBRE 2019'!$H$4856+'[1]OCTUBRE 2019'!$H$4857+'[1]OCTUBRE 2019'!$H$4858+'[1]OCTUBRE 2019'!$H$4859+'[1]OCTUBRE 2019'!$H$4864+'[1]OCTUBRE 2019'!$H$4868+'[1]OCTUBRE 2019'!$H$4869+'[1]OCTUBRE 2019'!$H$4870+'[1]OCTUBRE 2019'!$H$4873+'[1]OCTUBRE 2019'!$H$4874+'[1]OCTUBRE 2019'!$H$4875+'[1]OCTUBRE 2019'!$H$4932+'[1]OCTUBRE 2019'!$H$4933+'[1]OCTUBRE 2019'!$H$4934+'[1]OCTUBRE 2019'!$H$4936+'[1]OCTUBRE 2019'!$H$4937+'[1]OCTUBRE 2019'!$H$4938+'[1]OCTUBRE 2019'!$H$4939+'[1]OCTUBRE 2019'!$H$4959+'[1]OCTUBRE 2019'!$H$5041</f>
        <v>29298138</v>
      </c>
      <c r="CW96" s="66"/>
      <c r="CX96" s="66"/>
      <c r="CY96" s="66"/>
      <c r="CZ96" s="66"/>
      <c r="DA96" s="66"/>
      <c r="DB96" s="22">
        <f t="shared" si="59"/>
        <v>0.31803554230769226</v>
      </c>
      <c r="DC96" s="66">
        <f t="shared" si="76"/>
        <v>82689241</v>
      </c>
      <c r="DD96" s="66">
        <f t="shared" si="77"/>
        <v>0</v>
      </c>
      <c r="DE96" s="66">
        <f t="shared" si="77"/>
        <v>81987379</v>
      </c>
      <c r="DF96" s="66"/>
      <c r="DG96" s="66">
        <f t="shared" si="78"/>
        <v>0</v>
      </c>
      <c r="DH96" s="66">
        <f t="shared" si="78"/>
        <v>0</v>
      </c>
      <c r="DI96" s="66">
        <f t="shared" si="78"/>
        <v>0</v>
      </c>
      <c r="DJ96" s="66">
        <f t="shared" si="78"/>
        <v>0</v>
      </c>
      <c r="DK96" s="66">
        <f t="shared" si="78"/>
        <v>0</v>
      </c>
      <c r="DL96" s="66">
        <f t="shared" si="78"/>
        <v>0</v>
      </c>
      <c r="DM96" s="66">
        <f t="shared" si="78"/>
        <v>0</v>
      </c>
      <c r="DN96" s="66">
        <f t="shared" si="78"/>
        <v>0</v>
      </c>
      <c r="DO96" s="66">
        <f t="shared" si="78"/>
        <v>0</v>
      </c>
      <c r="DP96" s="66">
        <f t="shared" si="78"/>
        <v>0</v>
      </c>
      <c r="DQ96" s="66">
        <f t="shared" si="78"/>
        <v>0</v>
      </c>
      <c r="DR96" s="66">
        <f t="shared" si="78"/>
        <v>0</v>
      </c>
      <c r="DS96" s="66">
        <f t="shared" si="78"/>
        <v>0</v>
      </c>
      <c r="DT96" s="66">
        <f t="shared" si="78"/>
        <v>0</v>
      </c>
      <c r="DU96" s="66">
        <f t="shared" si="78"/>
        <v>701862</v>
      </c>
      <c r="DV96" s="66">
        <f t="shared" si="78"/>
        <v>0</v>
      </c>
      <c r="DW96" s="66">
        <f t="shared" si="79"/>
        <v>0</v>
      </c>
      <c r="DX96" s="66">
        <f t="shared" si="79"/>
        <v>0</v>
      </c>
      <c r="DY96" s="66"/>
      <c r="DZ96" s="66">
        <f t="shared" si="80"/>
        <v>0</v>
      </c>
      <c r="EC96" s="173">
        <v>260000000</v>
      </c>
      <c r="ED96" s="173">
        <v>177310759</v>
      </c>
      <c r="EE96" s="174">
        <f t="shared" si="52"/>
        <v>0.68196445769230774</v>
      </c>
    </row>
    <row r="97" spans="1:135" ht="17.399999999999999" hidden="1" customHeight="1" x14ac:dyDescent="0.3">
      <c r="A97" s="217" t="s">
        <v>133</v>
      </c>
      <c r="B97" s="219" t="s">
        <v>144</v>
      </c>
      <c r="C97" s="101" t="s">
        <v>143</v>
      </c>
      <c r="D97" s="71" t="s">
        <v>142</v>
      </c>
      <c r="E97" s="124">
        <v>520</v>
      </c>
      <c r="F97" s="67" t="s">
        <v>127</v>
      </c>
      <c r="G97" s="66">
        <f t="shared" si="67"/>
        <v>40000000</v>
      </c>
      <c r="H97" s="35"/>
      <c r="I97" s="66">
        <v>25000000</v>
      </c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>
        <f>5000000+10000000</f>
        <v>15000000</v>
      </c>
      <c r="Y97" s="66"/>
      <c r="Z97" s="66"/>
      <c r="AA97" s="66"/>
      <c r="AB97" s="66"/>
      <c r="AC97" s="66"/>
      <c r="AD97" s="66"/>
      <c r="AE97" s="22">
        <f t="shared" si="81"/>
        <v>0.99999994999999997</v>
      </c>
      <c r="AF97" s="66">
        <f t="shared" si="68"/>
        <v>39999998</v>
      </c>
      <c r="AG97" s="66"/>
      <c r="AH97" s="66">
        <f>+'[3]JULIO 2019'!$K$3507</f>
        <v>24999998</v>
      </c>
      <c r="AI97" s="66"/>
      <c r="AJ97" s="66"/>
      <c r="AK97" s="66"/>
      <c r="AL97" s="66"/>
      <c r="AM97" s="66"/>
      <c r="AN97" s="66"/>
      <c r="AO97" s="66"/>
      <c r="AP97" s="66"/>
      <c r="AQ97" s="66"/>
      <c r="AR97" s="66"/>
      <c r="AS97" s="66"/>
      <c r="AT97" s="66"/>
      <c r="AU97" s="66"/>
      <c r="AV97" s="66"/>
      <c r="AW97" s="66">
        <f>+'[7]AGOSTO 2019'!$Y$3983</f>
        <v>15000000</v>
      </c>
      <c r="AX97" s="66"/>
      <c r="AY97" s="66"/>
      <c r="AZ97" s="66"/>
      <c r="BA97" s="66"/>
      <c r="BB97" s="66"/>
      <c r="BC97" s="66"/>
      <c r="BD97" s="22">
        <f t="shared" si="57"/>
        <v>5.0000000029193359E-8</v>
      </c>
      <c r="BE97" s="66">
        <f t="shared" si="69"/>
        <v>2</v>
      </c>
      <c r="BF97" s="66">
        <f t="shared" si="70"/>
        <v>0</v>
      </c>
      <c r="BG97" s="66">
        <f t="shared" si="70"/>
        <v>2</v>
      </c>
      <c r="BH97" s="66">
        <f t="shared" si="70"/>
        <v>0</v>
      </c>
      <c r="BI97" s="66">
        <f t="shared" si="71"/>
        <v>0</v>
      </c>
      <c r="BJ97" s="66">
        <f t="shared" si="72"/>
        <v>0</v>
      </c>
      <c r="BK97" s="66">
        <f t="shared" si="72"/>
        <v>0</v>
      </c>
      <c r="BL97" s="66">
        <f t="shared" si="72"/>
        <v>0</v>
      </c>
      <c r="BM97" s="66">
        <f t="shared" si="72"/>
        <v>0</v>
      </c>
      <c r="BN97" s="66">
        <f t="shared" si="72"/>
        <v>0</v>
      </c>
      <c r="BO97" s="66">
        <f t="shared" si="72"/>
        <v>0</v>
      </c>
      <c r="BP97" s="66">
        <f t="shared" si="72"/>
        <v>0</v>
      </c>
      <c r="BQ97" s="66">
        <f t="shared" si="72"/>
        <v>0</v>
      </c>
      <c r="BR97" s="66">
        <f t="shared" si="72"/>
        <v>0</v>
      </c>
      <c r="BS97" s="66">
        <f t="shared" si="72"/>
        <v>0</v>
      </c>
      <c r="BT97" s="66">
        <f t="shared" si="72"/>
        <v>0</v>
      </c>
      <c r="BU97" s="66">
        <f t="shared" si="72"/>
        <v>0</v>
      </c>
      <c r="BV97" s="66">
        <f t="shared" si="72"/>
        <v>0</v>
      </c>
      <c r="BW97" s="66">
        <f t="shared" si="72"/>
        <v>0</v>
      </c>
      <c r="BX97" s="66">
        <f t="shared" si="72"/>
        <v>0</v>
      </c>
      <c r="BY97" s="66">
        <f t="shared" ref="BY97:BY101" si="82">AA97-AZ97</f>
        <v>0</v>
      </c>
      <c r="BZ97" s="66">
        <f t="shared" si="73"/>
        <v>0</v>
      </c>
      <c r="CA97" s="66"/>
      <c r="CB97" s="66">
        <f t="shared" si="74"/>
        <v>0</v>
      </c>
      <c r="CC97" s="22">
        <f t="shared" si="58"/>
        <v>0.99982660000000001</v>
      </c>
      <c r="CD97" s="66">
        <f t="shared" si="75"/>
        <v>39993064</v>
      </c>
      <c r="CE97" s="66"/>
      <c r="CF97" s="66">
        <f>+'[2]SEPTIEMBRE 2019'!$H$4624+'[2]SEPTIEMBRE 2019'!$H$4627</f>
        <v>24999998</v>
      </c>
      <c r="CG97" s="66"/>
      <c r="CH97" s="66"/>
      <c r="CI97" s="66"/>
      <c r="CJ97" s="66"/>
      <c r="CK97" s="66"/>
      <c r="CL97" s="66"/>
      <c r="CM97" s="66"/>
      <c r="CN97" s="66"/>
      <c r="CO97" s="66"/>
      <c r="CP97" s="66"/>
      <c r="CQ97" s="66"/>
      <c r="CR97" s="66"/>
      <c r="CS97" s="66"/>
      <c r="CT97" s="66"/>
      <c r="CU97" s="66">
        <f>+'[2]SEPTIEMBRE 2019'!$H$4630</f>
        <v>14993066</v>
      </c>
      <c r="CV97" s="66"/>
      <c r="CW97" s="66"/>
      <c r="CX97" s="66"/>
      <c r="CY97" s="66"/>
      <c r="CZ97" s="66"/>
      <c r="DA97" s="66"/>
      <c r="DB97" s="22">
        <f t="shared" si="59"/>
        <v>1.7339999999999023E-4</v>
      </c>
      <c r="DC97" s="66">
        <f t="shared" si="76"/>
        <v>6936</v>
      </c>
      <c r="DD97" s="66">
        <f t="shared" si="77"/>
        <v>0</v>
      </c>
      <c r="DE97" s="66">
        <f t="shared" si="77"/>
        <v>2</v>
      </c>
      <c r="DF97" s="66"/>
      <c r="DG97" s="66">
        <f t="shared" si="78"/>
        <v>0</v>
      </c>
      <c r="DH97" s="66">
        <f t="shared" si="78"/>
        <v>0</v>
      </c>
      <c r="DI97" s="66">
        <f t="shared" si="78"/>
        <v>0</v>
      </c>
      <c r="DJ97" s="66">
        <f t="shared" si="78"/>
        <v>0</v>
      </c>
      <c r="DK97" s="66">
        <f t="shared" si="78"/>
        <v>0</v>
      </c>
      <c r="DL97" s="66">
        <f t="shared" si="78"/>
        <v>0</v>
      </c>
      <c r="DM97" s="66">
        <f t="shared" si="78"/>
        <v>0</v>
      </c>
      <c r="DN97" s="66">
        <f t="shared" si="78"/>
        <v>0</v>
      </c>
      <c r="DO97" s="66">
        <f t="shared" si="78"/>
        <v>0</v>
      </c>
      <c r="DP97" s="66">
        <f t="shared" si="78"/>
        <v>0</v>
      </c>
      <c r="DQ97" s="66">
        <f t="shared" si="78"/>
        <v>0</v>
      </c>
      <c r="DR97" s="66">
        <f t="shared" si="78"/>
        <v>0</v>
      </c>
      <c r="DS97" s="66">
        <f t="shared" si="78"/>
        <v>0</v>
      </c>
      <c r="DT97" s="66">
        <f t="shared" si="78"/>
        <v>6934</v>
      </c>
      <c r="DU97" s="66">
        <f t="shared" si="78"/>
        <v>0</v>
      </c>
      <c r="DV97" s="66">
        <f t="shared" ref="DV97:DV104" si="83">Z97-CW97</f>
        <v>0</v>
      </c>
      <c r="DW97" s="66">
        <f t="shared" si="79"/>
        <v>0</v>
      </c>
      <c r="DX97" s="66">
        <f t="shared" si="79"/>
        <v>0</v>
      </c>
      <c r="DY97" s="66"/>
      <c r="DZ97" s="66">
        <f t="shared" si="80"/>
        <v>0</v>
      </c>
      <c r="EC97" s="173">
        <v>40000000</v>
      </c>
      <c r="ED97" s="173">
        <v>39993064</v>
      </c>
      <c r="EE97" s="174">
        <f t="shared" si="52"/>
        <v>0.99982660000000001</v>
      </c>
    </row>
    <row r="98" spans="1:135" ht="18" hidden="1" customHeight="1" x14ac:dyDescent="0.3">
      <c r="A98" s="218"/>
      <c r="B98" s="220"/>
      <c r="C98" s="101" t="s">
        <v>141</v>
      </c>
      <c r="D98" s="71" t="s">
        <v>140</v>
      </c>
      <c r="E98" s="124">
        <v>520</v>
      </c>
      <c r="F98" s="67" t="s">
        <v>127</v>
      </c>
      <c r="G98" s="66">
        <f t="shared" si="67"/>
        <v>80000000</v>
      </c>
      <c r="H98" s="35"/>
      <c r="I98" s="66">
        <v>40000000</v>
      </c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99"/>
      <c r="Y98" s="66"/>
      <c r="Z98" s="66">
        <v>40000000</v>
      </c>
      <c r="AA98" s="66"/>
      <c r="AB98" s="66"/>
      <c r="AC98" s="66"/>
      <c r="AD98" s="66"/>
      <c r="AE98" s="22">
        <f t="shared" si="81"/>
        <v>0.97248915000000002</v>
      </c>
      <c r="AF98" s="66">
        <f t="shared" si="68"/>
        <v>77799132</v>
      </c>
      <c r="AG98" s="66"/>
      <c r="AH98" s="66">
        <f>+'[5]MARZO 2019'!$K$1706</f>
        <v>39433571</v>
      </c>
      <c r="AI98" s="66"/>
      <c r="AJ98" s="66"/>
      <c r="AK98" s="66"/>
      <c r="AL98" s="66"/>
      <c r="AM98" s="66"/>
      <c r="AN98" s="66"/>
      <c r="AO98" s="66"/>
      <c r="AP98" s="66"/>
      <c r="AQ98" s="66"/>
      <c r="AR98" s="66"/>
      <c r="AS98" s="66"/>
      <c r="AT98" s="66"/>
      <c r="AU98" s="66"/>
      <c r="AV98" s="66"/>
      <c r="AW98" s="66"/>
      <c r="AX98" s="66"/>
      <c r="AY98" s="66">
        <f>+'[1]OCTUBRE 2019'!$AB$5206</f>
        <v>38365561</v>
      </c>
      <c r="AZ98" s="66"/>
      <c r="BA98" s="66"/>
      <c r="BB98" s="66"/>
      <c r="BC98" s="66"/>
      <c r="BD98" s="22">
        <f t="shared" si="57"/>
        <v>2.7510849999999976E-2</v>
      </c>
      <c r="BE98" s="66">
        <f t="shared" si="69"/>
        <v>2200868</v>
      </c>
      <c r="BF98" s="66">
        <f t="shared" si="70"/>
        <v>0</v>
      </c>
      <c r="BG98" s="66">
        <f t="shared" si="70"/>
        <v>566429</v>
      </c>
      <c r="BH98" s="66">
        <f t="shared" si="70"/>
        <v>0</v>
      </c>
      <c r="BI98" s="66">
        <f t="shared" si="71"/>
        <v>0</v>
      </c>
      <c r="BJ98" s="66">
        <f t="shared" ref="BJ98:BX101" si="84">L98-AK98</f>
        <v>0</v>
      </c>
      <c r="BK98" s="66">
        <f t="shared" si="84"/>
        <v>0</v>
      </c>
      <c r="BL98" s="66">
        <f t="shared" si="84"/>
        <v>0</v>
      </c>
      <c r="BM98" s="66">
        <f t="shared" si="84"/>
        <v>0</v>
      </c>
      <c r="BN98" s="66">
        <f t="shared" si="84"/>
        <v>0</v>
      </c>
      <c r="BO98" s="66">
        <f t="shared" si="84"/>
        <v>0</v>
      </c>
      <c r="BP98" s="66">
        <f t="shared" si="84"/>
        <v>0</v>
      </c>
      <c r="BQ98" s="66">
        <f t="shared" si="84"/>
        <v>0</v>
      </c>
      <c r="BR98" s="66">
        <f t="shared" si="84"/>
        <v>0</v>
      </c>
      <c r="BS98" s="66">
        <f t="shared" si="84"/>
        <v>0</v>
      </c>
      <c r="BT98" s="66">
        <f t="shared" si="84"/>
        <v>0</v>
      </c>
      <c r="BU98" s="66">
        <f t="shared" si="84"/>
        <v>0</v>
      </c>
      <c r="BV98" s="66">
        <f t="shared" si="84"/>
        <v>0</v>
      </c>
      <c r="BW98" s="66">
        <f t="shared" si="84"/>
        <v>0</v>
      </c>
      <c r="BX98" s="66">
        <f t="shared" si="84"/>
        <v>1634439</v>
      </c>
      <c r="BY98" s="66">
        <f t="shared" si="82"/>
        <v>0</v>
      </c>
      <c r="BZ98" s="66">
        <f t="shared" si="73"/>
        <v>0</v>
      </c>
      <c r="CA98" s="66"/>
      <c r="CB98" s="66">
        <f t="shared" si="74"/>
        <v>0</v>
      </c>
      <c r="CC98" s="22">
        <f t="shared" si="58"/>
        <v>0.97248915000000002</v>
      </c>
      <c r="CD98" s="66">
        <f t="shared" si="75"/>
        <v>77799132</v>
      </c>
      <c r="CE98" s="66"/>
      <c r="CF98" s="66">
        <f>+'[5]MARZO 2019'!$H$1704</f>
        <v>39433571</v>
      </c>
      <c r="CG98" s="66"/>
      <c r="CH98" s="66"/>
      <c r="CI98" s="66"/>
      <c r="CJ98" s="66"/>
      <c r="CK98" s="66"/>
      <c r="CL98" s="66"/>
      <c r="CM98" s="66"/>
      <c r="CN98" s="66"/>
      <c r="CO98" s="66"/>
      <c r="CP98" s="66"/>
      <c r="CQ98" s="66"/>
      <c r="CR98" s="66"/>
      <c r="CS98" s="66"/>
      <c r="CT98" s="66"/>
      <c r="CU98" s="66"/>
      <c r="CV98" s="66"/>
      <c r="CW98" s="66">
        <f>+'[1]OCTUBRE 2019'!$AB$5206</f>
        <v>38365561</v>
      </c>
      <c r="CX98" s="66"/>
      <c r="CY98" s="66"/>
      <c r="CZ98" s="66"/>
      <c r="DA98" s="66"/>
      <c r="DB98" s="22">
        <f t="shared" si="59"/>
        <v>2.7510849999999976E-2</v>
      </c>
      <c r="DC98" s="66">
        <f t="shared" si="76"/>
        <v>2200868</v>
      </c>
      <c r="DD98" s="66">
        <f t="shared" si="77"/>
        <v>0</v>
      </c>
      <c r="DE98" s="66">
        <f t="shared" si="77"/>
        <v>566429</v>
      </c>
      <c r="DF98" s="66"/>
      <c r="DG98" s="66">
        <f t="shared" ref="DG98:DU104" si="85">K98-CH98</f>
        <v>0</v>
      </c>
      <c r="DH98" s="66">
        <f t="shared" si="85"/>
        <v>0</v>
      </c>
      <c r="DI98" s="66">
        <f t="shared" si="85"/>
        <v>0</v>
      </c>
      <c r="DJ98" s="66">
        <f t="shared" si="85"/>
        <v>0</v>
      </c>
      <c r="DK98" s="66">
        <f t="shared" si="85"/>
        <v>0</v>
      </c>
      <c r="DL98" s="66">
        <f t="shared" si="85"/>
        <v>0</v>
      </c>
      <c r="DM98" s="66">
        <f t="shared" si="85"/>
        <v>0</v>
      </c>
      <c r="DN98" s="66">
        <f t="shared" si="85"/>
        <v>0</v>
      </c>
      <c r="DO98" s="66">
        <f t="shared" si="85"/>
        <v>0</v>
      </c>
      <c r="DP98" s="66">
        <f t="shared" si="85"/>
        <v>0</v>
      </c>
      <c r="DQ98" s="66">
        <f t="shared" si="85"/>
        <v>0</v>
      </c>
      <c r="DR98" s="66">
        <f t="shared" si="85"/>
        <v>0</v>
      </c>
      <c r="DS98" s="66">
        <f t="shared" si="85"/>
        <v>0</v>
      </c>
      <c r="DT98" s="66">
        <f t="shared" si="85"/>
        <v>0</v>
      </c>
      <c r="DU98" s="66">
        <f t="shared" si="85"/>
        <v>0</v>
      </c>
      <c r="DV98" s="66">
        <f t="shared" si="83"/>
        <v>1634439</v>
      </c>
      <c r="DW98" s="66">
        <f t="shared" si="79"/>
        <v>0</v>
      </c>
      <c r="DX98" s="66">
        <f t="shared" si="79"/>
        <v>0</v>
      </c>
      <c r="DY98" s="66"/>
      <c r="DZ98" s="66">
        <f t="shared" si="80"/>
        <v>0</v>
      </c>
      <c r="EC98" s="173">
        <v>80000000</v>
      </c>
      <c r="ED98" s="173">
        <v>77799132</v>
      </c>
      <c r="EE98" s="174">
        <f t="shared" si="52"/>
        <v>0.97248915000000002</v>
      </c>
    </row>
    <row r="99" spans="1:135" ht="29.4" hidden="1" customHeight="1" x14ac:dyDescent="0.3">
      <c r="A99" s="218"/>
      <c r="B99" s="107" t="s">
        <v>139</v>
      </c>
      <c r="C99" s="101" t="s">
        <v>138</v>
      </c>
      <c r="D99" s="71" t="s">
        <v>137</v>
      </c>
      <c r="E99" s="124">
        <v>520</v>
      </c>
      <c r="F99" s="67" t="s">
        <v>127</v>
      </c>
      <c r="G99" s="66">
        <f t="shared" si="67"/>
        <v>15000000</v>
      </c>
      <c r="H99" s="35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99">
        <v>15000000</v>
      </c>
      <c r="Y99" s="66"/>
      <c r="Z99" s="66"/>
      <c r="AA99" s="66"/>
      <c r="AB99" s="66"/>
      <c r="AC99" s="66"/>
      <c r="AD99" s="66"/>
      <c r="AE99" s="22">
        <f t="shared" si="81"/>
        <v>0.73333333333333328</v>
      </c>
      <c r="AF99" s="66">
        <f t="shared" si="68"/>
        <v>11000000</v>
      </c>
      <c r="AG99" s="66"/>
      <c r="AH99" s="66"/>
      <c r="AI99" s="66"/>
      <c r="AJ99" s="66"/>
      <c r="AK99" s="66"/>
      <c r="AL99" s="66"/>
      <c r="AM99" s="66"/>
      <c r="AN99" s="66"/>
      <c r="AO99" s="66"/>
      <c r="AP99" s="66"/>
      <c r="AQ99" s="66"/>
      <c r="AR99" s="66"/>
      <c r="AS99" s="66"/>
      <c r="AT99" s="66"/>
      <c r="AU99" s="66"/>
      <c r="AV99" s="66"/>
      <c r="AW99" s="66">
        <f>+'[3]JULIO 2019'!$Y$3535</f>
        <v>11000000</v>
      </c>
      <c r="AX99" s="66"/>
      <c r="AY99" s="66"/>
      <c r="AZ99" s="66"/>
      <c r="BA99" s="66"/>
      <c r="BB99" s="66"/>
      <c r="BC99" s="66"/>
      <c r="BD99" s="22">
        <f t="shared" si="57"/>
        <v>0.26666666666666672</v>
      </c>
      <c r="BE99" s="66">
        <f t="shared" si="69"/>
        <v>4000000</v>
      </c>
      <c r="BF99" s="66">
        <f t="shared" si="70"/>
        <v>0</v>
      </c>
      <c r="BG99" s="66">
        <f t="shared" si="70"/>
        <v>0</v>
      </c>
      <c r="BH99" s="66">
        <f t="shared" si="70"/>
        <v>0</v>
      </c>
      <c r="BI99" s="66">
        <f t="shared" si="71"/>
        <v>0</v>
      </c>
      <c r="BJ99" s="66">
        <f t="shared" si="84"/>
        <v>0</v>
      </c>
      <c r="BK99" s="66">
        <f t="shared" si="84"/>
        <v>0</v>
      </c>
      <c r="BL99" s="66">
        <f t="shared" si="84"/>
        <v>0</v>
      </c>
      <c r="BM99" s="66">
        <f t="shared" si="84"/>
        <v>0</v>
      </c>
      <c r="BN99" s="66">
        <f t="shared" si="84"/>
        <v>0</v>
      </c>
      <c r="BO99" s="66">
        <f t="shared" si="84"/>
        <v>0</v>
      </c>
      <c r="BP99" s="66">
        <f t="shared" si="84"/>
        <v>0</v>
      </c>
      <c r="BQ99" s="66">
        <f t="shared" si="84"/>
        <v>0</v>
      </c>
      <c r="BR99" s="66">
        <f t="shared" si="84"/>
        <v>0</v>
      </c>
      <c r="BS99" s="66">
        <f t="shared" si="84"/>
        <v>0</v>
      </c>
      <c r="BT99" s="66">
        <f t="shared" si="84"/>
        <v>0</v>
      </c>
      <c r="BU99" s="66">
        <f t="shared" si="84"/>
        <v>0</v>
      </c>
      <c r="BV99" s="66">
        <f t="shared" si="84"/>
        <v>4000000</v>
      </c>
      <c r="BW99" s="66">
        <f t="shared" si="84"/>
        <v>0</v>
      </c>
      <c r="BX99" s="66">
        <f t="shared" si="84"/>
        <v>0</v>
      </c>
      <c r="BY99" s="66">
        <f t="shared" si="82"/>
        <v>0</v>
      </c>
      <c r="BZ99" s="66">
        <f t="shared" si="73"/>
        <v>0</v>
      </c>
      <c r="CA99" s="66"/>
      <c r="CB99" s="66">
        <f t="shared" si="74"/>
        <v>0</v>
      </c>
      <c r="CC99" s="22">
        <f t="shared" si="58"/>
        <v>0.73333333333333328</v>
      </c>
      <c r="CD99" s="66">
        <f t="shared" si="75"/>
        <v>11000000</v>
      </c>
      <c r="CE99" s="66"/>
      <c r="CF99" s="66"/>
      <c r="CG99" s="66"/>
      <c r="CH99" s="66"/>
      <c r="CI99" s="66"/>
      <c r="CJ99" s="66"/>
      <c r="CK99" s="66"/>
      <c r="CL99" s="66"/>
      <c r="CM99" s="66"/>
      <c r="CN99" s="66"/>
      <c r="CO99" s="66"/>
      <c r="CP99" s="66"/>
      <c r="CQ99" s="66"/>
      <c r="CR99" s="66"/>
      <c r="CS99" s="66"/>
      <c r="CT99" s="66"/>
      <c r="CU99" s="66">
        <f>+'[3]JULIO 2019'!$H$3533</f>
        <v>11000000</v>
      </c>
      <c r="CV99" s="66"/>
      <c r="CW99" s="66"/>
      <c r="CX99" s="66"/>
      <c r="CY99" s="66"/>
      <c r="CZ99" s="66"/>
      <c r="DA99" s="66"/>
      <c r="DB99" s="22">
        <f t="shared" si="59"/>
        <v>0.26666666666666672</v>
      </c>
      <c r="DC99" s="66">
        <f t="shared" si="76"/>
        <v>4000000</v>
      </c>
      <c r="DD99" s="66">
        <f t="shared" si="77"/>
        <v>0</v>
      </c>
      <c r="DE99" s="66">
        <f t="shared" si="77"/>
        <v>0</v>
      </c>
      <c r="DF99" s="66"/>
      <c r="DG99" s="66">
        <f t="shared" si="85"/>
        <v>0</v>
      </c>
      <c r="DH99" s="66">
        <f t="shared" si="85"/>
        <v>0</v>
      </c>
      <c r="DI99" s="66">
        <f t="shared" si="85"/>
        <v>0</v>
      </c>
      <c r="DJ99" s="66">
        <f t="shared" si="85"/>
        <v>0</v>
      </c>
      <c r="DK99" s="66">
        <f t="shared" si="85"/>
        <v>0</v>
      </c>
      <c r="DL99" s="66">
        <f t="shared" si="85"/>
        <v>0</v>
      </c>
      <c r="DM99" s="66">
        <f t="shared" si="85"/>
        <v>0</v>
      </c>
      <c r="DN99" s="66">
        <f t="shared" si="85"/>
        <v>0</v>
      </c>
      <c r="DO99" s="66">
        <f t="shared" si="85"/>
        <v>0</v>
      </c>
      <c r="DP99" s="66">
        <f t="shared" si="85"/>
        <v>0</v>
      </c>
      <c r="DQ99" s="66">
        <f t="shared" si="85"/>
        <v>0</v>
      </c>
      <c r="DR99" s="66">
        <f t="shared" si="85"/>
        <v>0</v>
      </c>
      <c r="DS99" s="66">
        <f t="shared" si="85"/>
        <v>0</v>
      </c>
      <c r="DT99" s="66">
        <f t="shared" si="85"/>
        <v>4000000</v>
      </c>
      <c r="DU99" s="66">
        <f t="shared" si="85"/>
        <v>0</v>
      </c>
      <c r="DV99" s="66">
        <f t="shared" si="83"/>
        <v>0</v>
      </c>
      <c r="DW99" s="66">
        <f t="shared" si="79"/>
        <v>0</v>
      </c>
      <c r="DX99" s="66">
        <f t="shared" si="79"/>
        <v>0</v>
      </c>
      <c r="DY99" s="66"/>
      <c r="DZ99" s="66">
        <f t="shared" si="80"/>
        <v>0</v>
      </c>
      <c r="EC99" s="173">
        <v>15000000</v>
      </c>
      <c r="ED99" s="173">
        <v>11000000</v>
      </c>
      <c r="EE99" s="174">
        <f t="shared" si="52"/>
        <v>0.73333333333333328</v>
      </c>
    </row>
    <row r="100" spans="1:135" ht="19.8" hidden="1" customHeight="1" x14ac:dyDescent="0.3">
      <c r="A100" s="218"/>
      <c r="B100" s="91" t="s">
        <v>136</v>
      </c>
      <c r="C100" s="101" t="s">
        <v>135</v>
      </c>
      <c r="D100" s="107" t="s">
        <v>134</v>
      </c>
      <c r="E100" s="124">
        <v>520</v>
      </c>
      <c r="F100" s="103" t="s">
        <v>127</v>
      </c>
      <c r="G100" s="66">
        <f t="shared" si="67"/>
        <v>50000000</v>
      </c>
      <c r="H100" s="35"/>
      <c r="I100" s="66">
        <v>50000000</v>
      </c>
      <c r="J100" s="99"/>
      <c r="K100" s="99"/>
      <c r="L100" s="50"/>
      <c r="M100" s="99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99"/>
      <c r="Y100" s="66"/>
      <c r="Z100" s="66"/>
      <c r="AA100" s="35"/>
      <c r="AB100" s="35"/>
      <c r="AC100" s="35"/>
      <c r="AD100" s="106"/>
      <c r="AE100" s="22">
        <f t="shared" si="81"/>
        <v>0.96</v>
      </c>
      <c r="AF100" s="66">
        <f t="shared" si="68"/>
        <v>48000000</v>
      </c>
      <c r="AG100" s="66"/>
      <c r="AH100" s="66">
        <f>+'[4]JUNIO 2019'!$K$2854</f>
        <v>48000000</v>
      </c>
      <c r="AI100" s="66"/>
      <c r="AJ100" s="66"/>
      <c r="AK100" s="66"/>
      <c r="AL100" s="66"/>
      <c r="AM100" s="66"/>
      <c r="AN100" s="66"/>
      <c r="AO100" s="66"/>
      <c r="AP100" s="66"/>
      <c r="AQ100" s="66"/>
      <c r="AR100" s="66"/>
      <c r="AS100" s="66"/>
      <c r="AT100" s="66"/>
      <c r="AU100" s="66"/>
      <c r="AV100" s="66"/>
      <c r="AW100" s="66"/>
      <c r="AX100" s="66"/>
      <c r="AY100" s="66"/>
      <c r="AZ100" s="66"/>
      <c r="BA100" s="66"/>
      <c r="BB100" s="66"/>
      <c r="BC100" s="66"/>
      <c r="BD100" s="22">
        <f t="shared" si="57"/>
        <v>4.0000000000000036E-2</v>
      </c>
      <c r="BE100" s="66">
        <f t="shared" si="69"/>
        <v>2000000</v>
      </c>
      <c r="BF100" s="66">
        <f t="shared" si="70"/>
        <v>0</v>
      </c>
      <c r="BG100" s="66">
        <f t="shared" si="70"/>
        <v>2000000</v>
      </c>
      <c r="BH100" s="66">
        <f t="shared" si="70"/>
        <v>0</v>
      </c>
      <c r="BI100" s="66">
        <f t="shared" si="71"/>
        <v>0</v>
      </c>
      <c r="BJ100" s="66">
        <f t="shared" si="84"/>
        <v>0</v>
      </c>
      <c r="BK100" s="66">
        <f t="shared" si="84"/>
        <v>0</v>
      </c>
      <c r="BL100" s="66">
        <f t="shared" si="84"/>
        <v>0</v>
      </c>
      <c r="BM100" s="66">
        <f t="shared" si="84"/>
        <v>0</v>
      </c>
      <c r="BN100" s="66">
        <f t="shared" si="84"/>
        <v>0</v>
      </c>
      <c r="BO100" s="66">
        <f t="shared" si="84"/>
        <v>0</v>
      </c>
      <c r="BP100" s="66">
        <f t="shared" si="84"/>
        <v>0</v>
      </c>
      <c r="BQ100" s="66">
        <f t="shared" si="84"/>
        <v>0</v>
      </c>
      <c r="BR100" s="66">
        <f t="shared" si="84"/>
        <v>0</v>
      </c>
      <c r="BS100" s="66">
        <f t="shared" si="84"/>
        <v>0</v>
      </c>
      <c r="BT100" s="66">
        <f t="shared" si="84"/>
        <v>0</v>
      </c>
      <c r="BU100" s="66">
        <f t="shared" si="84"/>
        <v>0</v>
      </c>
      <c r="BV100" s="66">
        <f t="shared" si="84"/>
        <v>0</v>
      </c>
      <c r="BW100" s="66">
        <f t="shared" si="84"/>
        <v>0</v>
      </c>
      <c r="BX100" s="66">
        <f t="shared" si="84"/>
        <v>0</v>
      </c>
      <c r="BY100" s="66">
        <f t="shared" si="82"/>
        <v>0</v>
      </c>
      <c r="BZ100" s="66">
        <f t="shared" si="73"/>
        <v>0</v>
      </c>
      <c r="CA100" s="66"/>
      <c r="CB100" s="66">
        <f t="shared" si="74"/>
        <v>0</v>
      </c>
      <c r="CC100" s="22">
        <f t="shared" si="58"/>
        <v>0.96</v>
      </c>
      <c r="CD100" s="66">
        <f t="shared" si="75"/>
        <v>48000000</v>
      </c>
      <c r="CE100" s="66"/>
      <c r="CF100" s="66">
        <f>+'[3]JULIO 2019'!$H$3541</f>
        <v>48000000</v>
      </c>
      <c r="CG100" s="66"/>
      <c r="CH100" s="66"/>
      <c r="CI100" s="66"/>
      <c r="CJ100" s="66"/>
      <c r="CK100" s="66"/>
      <c r="CL100" s="66"/>
      <c r="CM100" s="66"/>
      <c r="CN100" s="66"/>
      <c r="CO100" s="66"/>
      <c r="CP100" s="66"/>
      <c r="CQ100" s="66"/>
      <c r="CR100" s="66"/>
      <c r="CS100" s="66"/>
      <c r="CT100" s="66"/>
      <c r="CU100" s="66"/>
      <c r="CV100" s="66"/>
      <c r="CW100" s="66"/>
      <c r="CX100" s="66"/>
      <c r="CY100" s="66"/>
      <c r="CZ100" s="66"/>
      <c r="DA100" s="66"/>
      <c r="DB100" s="22">
        <f t="shared" si="59"/>
        <v>4.0000000000000036E-2</v>
      </c>
      <c r="DC100" s="66">
        <f t="shared" si="76"/>
        <v>2000000</v>
      </c>
      <c r="DD100" s="66">
        <f t="shared" si="77"/>
        <v>0</v>
      </c>
      <c r="DE100" s="66">
        <f t="shared" si="77"/>
        <v>2000000</v>
      </c>
      <c r="DF100" s="66"/>
      <c r="DG100" s="66">
        <f t="shared" si="85"/>
        <v>0</v>
      </c>
      <c r="DH100" s="66">
        <f t="shared" si="85"/>
        <v>0</v>
      </c>
      <c r="DI100" s="66">
        <f t="shared" si="85"/>
        <v>0</v>
      </c>
      <c r="DJ100" s="66">
        <f t="shared" si="85"/>
        <v>0</v>
      </c>
      <c r="DK100" s="66">
        <f t="shared" si="85"/>
        <v>0</v>
      </c>
      <c r="DL100" s="66">
        <f t="shared" si="85"/>
        <v>0</v>
      </c>
      <c r="DM100" s="66">
        <f t="shared" si="85"/>
        <v>0</v>
      </c>
      <c r="DN100" s="66">
        <f t="shared" si="85"/>
        <v>0</v>
      </c>
      <c r="DO100" s="66">
        <f t="shared" si="85"/>
        <v>0</v>
      </c>
      <c r="DP100" s="66">
        <f t="shared" si="85"/>
        <v>0</v>
      </c>
      <c r="DQ100" s="66">
        <f t="shared" si="85"/>
        <v>0</v>
      </c>
      <c r="DR100" s="66">
        <f t="shared" si="85"/>
        <v>0</v>
      </c>
      <c r="DS100" s="66">
        <f t="shared" si="85"/>
        <v>0</v>
      </c>
      <c r="DT100" s="66">
        <f t="shared" si="85"/>
        <v>0</v>
      </c>
      <c r="DU100" s="66">
        <f t="shared" si="85"/>
        <v>0</v>
      </c>
      <c r="DV100" s="66">
        <f t="shared" si="83"/>
        <v>0</v>
      </c>
      <c r="DW100" s="66">
        <f t="shared" si="79"/>
        <v>0</v>
      </c>
      <c r="DX100" s="66">
        <f t="shared" si="79"/>
        <v>0</v>
      </c>
      <c r="DY100" s="66"/>
      <c r="DZ100" s="66">
        <f t="shared" si="80"/>
        <v>0</v>
      </c>
      <c r="EC100" s="173">
        <v>50000000</v>
      </c>
      <c r="ED100" s="173">
        <v>48000000</v>
      </c>
      <c r="EE100" s="174">
        <f t="shared" si="52"/>
        <v>0.96</v>
      </c>
    </row>
    <row r="101" spans="1:135" s="76" customFormat="1" ht="22.8" hidden="1" customHeight="1" x14ac:dyDescent="0.3">
      <c r="A101" s="218" t="s">
        <v>133</v>
      </c>
      <c r="B101" s="219" t="s">
        <v>132</v>
      </c>
      <c r="C101" s="105" t="s">
        <v>131</v>
      </c>
      <c r="D101" s="71" t="s">
        <v>130</v>
      </c>
      <c r="E101" s="104">
        <v>520</v>
      </c>
      <c r="F101" s="103" t="s">
        <v>127</v>
      </c>
      <c r="G101" s="66">
        <f t="shared" si="67"/>
        <v>0</v>
      </c>
      <c r="H101" s="35"/>
      <c r="I101" s="66"/>
      <c r="J101" s="66"/>
      <c r="K101" s="66"/>
      <c r="L101" s="35"/>
      <c r="M101" s="66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99">
        <f>5000000-5000000</f>
        <v>0</v>
      </c>
      <c r="Y101" s="66"/>
      <c r="Z101" s="66"/>
      <c r="AA101" s="66"/>
      <c r="AB101" s="66"/>
      <c r="AC101" s="66"/>
      <c r="AD101" s="66"/>
      <c r="AE101" s="77" t="e">
        <f t="shared" si="81"/>
        <v>#DIV/0!</v>
      </c>
      <c r="AF101" s="66">
        <f t="shared" si="68"/>
        <v>0</v>
      </c>
      <c r="AG101" s="75"/>
      <c r="AH101" s="75"/>
      <c r="AI101" s="75"/>
      <c r="AJ101" s="75"/>
      <c r="AK101" s="75"/>
      <c r="AL101" s="75"/>
      <c r="AM101" s="66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7" t="e">
        <f t="shared" si="57"/>
        <v>#DIV/0!</v>
      </c>
      <c r="BE101" s="66">
        <f t="shared" si="69"/>
        <v>0</v>
      </c>
      <c r="BF101" s="66">
        <f t="shared" si="70"/>
        <v>0</v>
      </c>
      <c r="BG101" s="66">
        <f t="shared" si="70"/>
        <v>0</v>
      </c>
      <c r="BH101" s="66">
        <f t="shared" si="70"/>
        <v>0</v>
      </c>
      <c r="BI101" s="66">
        <f t="shared" si="71"/>
        <v>0</v>
      </c>
      <c r="BJ101" s="66">
        <f t="shared" si="84"/>
        <v>0</v>
      </c>
      <c r="BK101" s="66">
        <f t="shared" si="84"/>
        <v>0</v>
      </c>
      <c r="BL101" s="66">
        <f t="shared" si="84"/>
        <v>0</v>
      </c>
      <c r="BM101" s="66">
        <f t="shared" si="84"/>
        <v>0</v>
      </c>
      <c r="BN101" s="66">
        <f t="shared" si="84"/>
        <v>0</v>
      </c>
      <c r="BO101" s="66">
        <f t="shared" si="84"/>
        <v>0</v>
      </c>
      <c r="BP101" s="66">
        <f t="shared" si="84"/>
        <v>0</v>
      </c>
      <c r="BQ101" s="66">
        <f t="shared" si="84"/>
        <v>0</v>
      </c>
      <c r="BR101" s="66">
        <f t="shared" si="84"/>
        <v>0</v>
      </c>
      <c r="BS101" s="66">
        <f t="shared" si="84"/>
        <v>0</v>
      </c>
      <c r="BT101" s="66">
        <f t="shared" si="84"/>
        <v>0</v>
      </c>
      <c r="BU101" s="66">
        <f t="shared" si="84"/>
        <v>0</v>
      </c>
      <c r="BV101" s="66">
        <f t="shared" si="84"/>
        <v>0</v>
      </c>
      <c r="BW101" s="66">
        <f t="shared" si="84"/>
        <v>0</v>
      </c>
      <c r="BX101" s="66">
        <f t="shared" si="84"/>
        <v>0</v>
      </c>
      <c r="BY101" s="66">
        <f t="shared" si="82"/>
        <v>0</v>
      </c>
      <c r="BZ101" s="66">
        <f t="shared" si="73"/>
        <v>0</v>
      </c>
      <c r="CA101" s="66"/>
      <c r="CB101" s="66">
        <f t="shared" si="74"/>
        <v>0</v>
      </c>
      <c r="CC101" s="77" t="e">
        <f t="shared" si="58"/>
        <v>#DIV/0!</v>
      </c>
      <c r="CD101" s="66">
        <f t="shared" si="75"/>
        <v>0</v>
      </c>
      <c r="CE101" s="75"/>
      <c r="CF101" s="75"/>
      <c r="CG101" s="75"/>
      <c r="CH101" s="75"/>
      <c r="CI101" s="75"/>
      <c r="CJ101" s="75"/>
      <c r="CK101" s="75"/>
      <c r="CL101" s="75"/>
      <c r="CM101" s="75"/>
      <c r="CN101" s="75"/>
      <c r="CO101" s="75"/>
      <c r="CP101" s="75"/>
      <c r="CQ101" s="75"/>
      <c r="CR101" s="75"/>
      <c r="CS101" s="75"/>
      <c r="CT101" s="75"/>
      <c r="CU101" s="75"/>
      <c r="CV101" s="75"/>
      <c r="CW101" s="75"/>
      <c r="CX101" s="75"/>
      <c r="CY101" s="75"/>
      <c r="CZ101" s="75"/>
      <c r="DA101" s="75"/>
      <c r="DB101" s="77" t="e">
        <f t="shared" si="59"/>
        <v>#DIV/0!</v>
      </c>
      <c r="DC101" s="66">
        <f t="shared" si="76"/>
        <v>0</v>
      </c>
      <c r="DD101" s="66">
        <f t="shared" si="77"/>
        <v>0</v>
      </c>
      <c r="DE101" s="66">
        <f t="shared" si="77"/>
        <v>0</v>
      </c>
      <c r="DF101" s="66"/>
      <c r="DG101" s="66">
        <f t="shared" si="85"/>
        <v>0</v>
      </c>
      <c r="DH101" s="66">
        <f t="shared" si="85"/>
        <v>0</v>
      </c>
      <c r="DI101" s="66">
        <f t="shared" si="85"/>
        <v>0</v>
      </c>
      <c r="DJ101" s="66">
        <f t="shared" si="85"/>
        <v>0</v>
      </c>
      <c r="DK101" s="66">
        <f t="shared" si="85"/>
        <v>0</v>
      </c>
      <c r="DL101" s="66">
        <f t="shared" si="85"/>
        <v>0</v>
      </c>
      <c r="DM101" s="66">
        <f t="shared" si="85"/>
        <v>0</v>
      </c>
      <c r="DN101" s="66">
        <f t="shared" si="85"/>
        <v>0</v>
      </c>
      <c r="DO101" s="66">
        <f t="shared" si="85"/>
        <v>0</v>
      </c>
      <c r="DP101" s="66">
        <f t="shared" si="85"/>
        <v>0</v>
      </c>
      <c r="DQ101" s="66">
        <f t="shared" si="85"/>
        <v>0</v>
      </c>
      <c r="DR101" s="66">
        <f t="shared" si="85"/>
        <v>0</v>
      </c>
      <c r="DS101" s="66">
        <f t="shared" si="85"/>
        <v>0</v>
      </c>
      <c r="DT101" s="66">
        <f t="shared" si="85"/>
        <v>0</v>
      </c>
      <c r="DU101" s="66">
        <f t="shared" si="85"/>
        <v>0</v>
      </c>
      <c r="DV101" s="66">
        <f t="shared" si="83"/>
        <v>0</v>
      </c>
      <c r="DW101" s="66">
        <f t="shared" si="79"/>
        <v>0</v>
      </c>
      <c r="DX101" s="66">
        <f t="shared" si="79"/>
        <v>0</v>
      </c>
      <c r="DY101" s="66"/>
      <c r="DZ101" s="66">
        <f t="shared" si="80"/>
        <v>0</v>
      </c>
      <c r="EC101" s="173">
        <v>0</v>
      </c>
      <c r="ED101" s="173">
        <v>0</v>
      </c>
      <c r="EE101" s="174" t="e">
        <f t="shared" si="52"/>
        <v>#DIV/0!</v>
      </c>
    </row>
    <row r="102" spans="1:135" s="76" customFormat="1" ht="45.6" hidden="1" customHeight="1" x14ac:dyDescent="0.3">
      <c r="A102" s="218"/>
      <c r="B102" s="220"/>
      <c r="C102" s="105" t="s">
        <v>129</v>
      </c>
      <c r="D102" s="71" t="s">
        <v>128</v>
      </c>
      <c r="E102" s="104">
        <v>520</v>
      </c>
      <c r="F102" s="103" t="s">
        <v>127</v>
      </c>
      <c r="G102" s="66">
        <f t="shared" si="67"/>
        <v>114000000</v>
      </c>
      <c r="H102" s="35"/>
      <c r="I102" s="66"/>
      <c r="J102" s="99"/>
      <c r="K102" s="66">
        <v>114000000</v>
      </c>
      <c r="L102" s="50"/>
      <c r="M102" s="99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99">
        <f>10000000-10000000</f>
        <v>0</v>
      </c>
      <c r="Y102" s="66"/>
      <c r="Z102" s="66"/>
      <c r="AA102" s="66"/>
      <c r="AB102" s="66"/>
      <c r="AC102" s="66"/>
      <c r="AD102" s="66"/>
      <c r="AE102" s="77">
        <f t="shared" si="81"/>
        <v>0</v>
      </c>
      <c r="AF102" s="66">
        <f t="shared" si="68"/>
        <v>0</v>
      </c>
      <c r="AG102" s="75"/>
      <c r="AH102" s="75"/>
      <c r="AI102" s="75"/>
      <c r="AJ102" s="75"/>
      <c r="AK102" s="75"/>
      <c r="AL102" s="75"/>
      <c r="AM102" s="66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7">
        <f t="shared" si="57"/>
        <v>1</v>
      </c>
      <c r="BE102" s="66">
        <f t="shared" si="69"/>
        <v>114000000</v>
      </c>
      <c r="BF102" s="66"/>
      <c r="BG102" s="66"/>
      <c r="BH102" s="66"/>
      <c r="BI102" s="66">
        <f t="shared" si="71"/>
        <v>114000000</v>
      </c>
      <c r="BJ102" s="66"/>
      <c r="BK102" s="66"/>
      <c r="BL102" s="66"/>
      <c r="BM102" s="66"/>
      <c r="BN102" s="66"/>
      <c r="BO102" s="66"/>
      <c r="BP102" s="66"/>
      <c r="BQ102" s="66"/>
      <c r="BR102" s="66"/>
      <c r="BS102" s="66"/>
      <c r="BT102" s="66"/>
      <c r="BU102" s="66"/>
      <c r="BV102" s="66">
        <f>X102-AW102</f>
        <v>0</v>
      </c>
      <c r="BW102" s="66"/>
      <c r="BX102" s="66"/>
      <c r="BY102" s="66"/>
      <c r="BZ102" s="66"/>
      <c r="CA102" s="66"/>
      <c r="CB102" s="66"/>
      <c r="CC102" s="77">
        <f t="shared" si="58"/>
        <v>0</v>
      </c>
      <c r="CD102" s="66">
        <f t="shared" si="75"/>
        <v>0</v>
      </c>
      <c r="CE102" s="75"/>
      <c r="CF102" s="75"/>
      <c r="CG102" s="75"/>
      <c r="CH102" s="75"/>
      <c r="CI102" s="75"/>
      <c r="CJ102" s="75"/>
      <c r="CK102" s="75"/>
      <c r="CL102" s="75"/>
      <c r="CM102" s="75"/>
      <c r="CN102" s="75"/>
      <c r="CO102" s="75"/>
      <c r="CP102" s="75"/>
      <c r="CQ102" s="75"/>
      <c r="CR102" s="75"/>
      <c r="CS102" s="75"/>
      <c r="CT102" s="75"/>
      <c r="CU102" s="75"/>
      <c r="CV102" s="75"/>
      <c r="CW102" s="75"/>
      <c r="CX102" s="75"/>
      <c r="CY102" s="75"/>
      <c r="CZ102" s="75"/>
      <c r="DA102" s="75"/>
      <c r="DB102" s="77">
        <f t="shared" si="59"/>
        <v>1</v>
      </c>
      <c r="DC102" s="66">
        <f t="shared" si="76"/>
        <v>114000000</v>
      </c>
      <c r="DD102" s="66">
        <f t="shared" si="77"/>
        <v>0</v>
      </c>
      <c r="DE102" s="66">
        <f t="shared" si="77"/>
        <v>0</v>
      </c>
      <c r="DF102" s="66"/>
      <c r="DG102" s="66">
        <f t="shared" si="85"/>
        <v>114000000</v>
      </c>
      <c r="DH102" s="66">
        <f t="shared" si="85"/>
        <v>0</v>
      </c>
      <c r="DI102" s="66">
        <f t="shared" si="85"/>
        <v>0</v>
      </c>
      <c r="DJ102" s="66">
        <f t="shared" si="85"/>
        <v>0</v>
      </c>
      <c r="DK102" s="66">
        <f t="shared" si="85"/>
        <v>0</v>
      </c>
      <c r="DL102" s="66">
        <f t="shared" si="85"/>
        <v>0</v>
      </c>
      <c r="DM102" s="66">
        <f t="shared" si="85"/>
        <v>0</v>
      </c>
      <c r="DN102" s="66">
        <f t="shared" si="85"/>
        <v>0</v>
      </c>
      <c r="DO102" s="66">
        <f t="shared" si="85"/>
        <v>0</v>
      </c>
      <c r="DP102" s="66">
        <f t="shared" si="85"/>
        <v>0</v>
      </c>
      <c r="DQ102" s="66">
        <f t="shared" si="85"/>
        <v>0</v>
      </c>
      <c r="DR102" s="66">
        <f t="shared" si="85"/>
        <v>0</v>
      </c>
      <c r="DS102" s="66">
        <f t="shared" si="85"/>
        <v>0</v>
      </c>
      <c r="DT102" s="66">
        <f t="shared" si="85"/>
        <v>0</v>
      </c>
      <c r="DU102" s="66">
        <f t="shared" si="85"/>
        <v>0</v>
      </c>
      <c r="DV102" s="66">
        <f t="shared" si="83"/>
        <v>0</v>
      </c>
      <c r="DW102" s="66">
        <f t="shared" si="79"/>
        <v>0</v>
      </c>
      <c r="DX102" s="66">
        <f t="shared" si="79"/>
        <v>0</v>
      </c>
      <c r="DY102" s="66"/>
      <c r="DZ102" s="66">
        <f t="shared" si="80"/>
        <v>0</v>
      </c>
      <c r="EC102" s="173">
        <v>114000000</v>
      </c>
      <c r="ED102" s="173">
        <v>0</v>
      </c>
      <c r="EE102" s="174">
        <f t="shared" si="52"/>
        <v>0</v>
      </c>
    </row>
    <row r="103" spans="1:135" ht="27" hidden="1" customHeight="1" x14ac:dyDescent="0.3">
      <c r="A103" s="218"/>
      <c r="B103" s="81" t="s">
        <v>126</v>
      </c>
      <c r="C103" s="101" t="s">
        <v>125</v>
      </c>
      <c r="D103" s="71" t="s">
        <v>124</v>
      </c>
      <c r="E103" s="124">
        <v>520</v>
      </c>
      <c r="F103" s="103" t="s">
        <v>123</v>
      </c>
      <c r="G103" s="66">
        <f t="shared" si="67"/>
        <v>326988146</v>
      </c>
      <c r="H103" s="35"/>
      <c r="I103" s="66">
        <v>200000000</v>
      </c>
      <c r="J103" s="99"/>
      <c r="K103" s="99"/>
      <c r="L103" s="99"/>
      <c r="M103" s="99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99"/>
      <c r="Y103" s="66">
        <v>50000000</v>
      </c>
      <c r="Z103" s="66">
        <f>10000000+30000000+20000000</f>
        <v>60000000</v>
      </c>
      <c r="AA103" s="66"/>
      <c r="AB103" s="66"/>
      <c r="AC103" s="66"/>
      <c r="AD103" s="66">
        <f>8000000+8988146</f>
        <v>16988146</v>
      </c>
      <c r="AE103" s="22">
        <f t="shared" si="81"/>
        <v>0.91156760771382828</v>
      </c>
      <c r="AF103" s="66">
        <f t="shared" si="68"/>
        <v>298071802</v>
      </c>
      <c r="AG103" s="66"/>
      <c r="AH103" s="66">
        <f>+'[1]OCTUBRE 2019'!$K$5274</f>
        <v>194283656</v>
      </c>
      <c r="AI103" s="66"/>
      <c r="AJ103" s="66"/>
      <c r="AK103" s="66"/>
      <c r="AL103" s="66"/>
      <c r="AM103" s="66"/>
      <c r="AN103" s="66"/>
      <c r="AO103" s="66"/>
      <c r="AP103" s="66"/>
      <c r="AQ103" s="66"/>
      <c r="AR103" s="66"/>
      <c r="AS103" s="66"/>
      <c r="AT103" s="66"/>
      <c r="AU103" s="66"/>
      <c r="AV103" s="66"/>
      <c r="AW103" s="66"/>
      <c r="AX103" s="66">
        <f>+'[4]JUNIO 2019'!$Z$2879</f>
        <v>50000000</v>
      </c>
      <c r="AY103" s="66">
        <f>+'[1]OCTUBRE 2019'!$AB$5274</f>
        <v>36800000</v>
      </c>
      <c r="AZ103" s="66"/>
      <c r="BA103" s="66"/>
      <c r="BB103" s="66"/>
      <c r="BC103" s="66">
        <f>+'[3]JULIO 2019'!$AF$3568</f>
        <v>16988146</v>
      </c>
      <c r="BD103" s="22">
        <f t="shared" si="57"/>
        <v>8.8432392286171724E-2</v>
      </c>
      <c r="BE103" s="66">
        <f t="shared" si="69"/>
        <v>28916344</v>
      </c>
      <c r="BF103" s="66">
        <f t="shared" ref="BF103:BH104" si="86">H103-AG103</f>
        <v>0</v>
      </c>
      <c r="BG103" s="66">
        <f t="shared" si="86"/>
        <v>5716344</v>
      </c>
      <c r="BH103" s="66">
        <f t="shared" si="86"/>
        <v>0</v>
      </c>
      <c r="BI103" s="66">
        <f t="shared" si="71"/>
        <v>0</v>
      </c>
      <c r="BJ103" s="66">
        <f t="shared" ref="BJ103:BU104" si="87">L103-AK103</f>
        <v>0</v>
      </c>
      <c r="BK103" s="66">
        <f t="shared" si="87"/>
        <v>0</v>
      </c>
      <c r="BL103" s="66">
        <f t="shared" si="87"/>
        <v>0</v>
      </c>
      <c r="BM103" s="66">
        <f t="shared" si="87"/>
        <v>0</v>
      </c>
      <c r="BN103" s="66">
        <f t="shared" si="87"/>
        <v>0</v>
      </c>
      <c r="BO103" s="66">
        <f t="shared" si="87"/>
        <v>0</v>
      </c>
      <c r="BP103" s="66">
        <f t="shared" si="87"/>
        <v>0</v>
      </c>
      <c r="BQ103" s="66">
        <f t="shared" si="87"/>
        <v>0</v>
      </c>
      <c r="BR103" s="66">
        <f t="shared" si="87"/>
        <v>0</v>
      </c>
      <c r="BS103" s="66">
        <f t="shared" si="87"/>
        <v>0</v>
      </c>
      <c r="BT103" s="66">
        <f t="shared" si="87"/>
        <v>0</v>
      </c>
      <c r="BU103" s="66">
        <f t="shared" si="87"/>
        <v>0</v>
      </c>
      <c r="BV103" s="66">
        <f>X103-AW103</f>
        <v>0</v>
      </c>
      <c r="BW103" s="66">
        <f t="shared" ref="BW103:BZ104" si="88">Y103-AX103</f>
        <v>0</v>
      </c>
      <c r="BX103" s="66">
        <f t="shared" si="88"/>
        <v>23200000</v>
      </c>
      <c r="BY103" s="66">
        <f t="shared" si="88"/>
        <v>0</v>
      </c>
      <c r="BZ103" s="66">
        <f t="shared" si="88"/>
        <v>0</v>
      </c>
      <c r="CA103" s="66"/>
      <c r="CB103" s="66">
        <f>AD103-BC103</f>
        <v>0</v>
      </c>
      <c r="CC103" s="22">
        <f t="shared" si="58"/>
        <v>0.88582378151408581</v>
      </c>
      <c r="CD103" s="66">
        <f t="shared" si="75"/>
        <v>289653876</v>
      </c>
      <c r="CE103" s="66"/>
      <c r="CF103" s="66">
        <f>+'[1]OCTUBRE 2019'!$H$5275+'[1]OCTUBRE 2019'!$H$5294+'[1]OCTUBRE 2019'!$H$5301+'[1]OCTUBRE 2019'!$H$5305+'[1]OCTUBRE 2019'!$H$5307+'[1]OCTUBRE 2019'!$H$5309+'[1]OCTUBRE 2019'!$H$5311+'[1]OCTUBRE 2019'!$H$5325</f>
        <v>193477218</v>
      </c>
      <c r="CG103" s="66"/>
      <c r="CH103" s="66"/>
      <c r="CI103" s="66"/>
      <c r="CJ103" s="66"/>
      <c r="CK103" s="66"/>
      <c r="CL103" s="66"/>
      <c r="CM103" s="66"/>
      <c r="CN103" s="66"/>
      <c r="CO103" s="66"/>
      <c r="CP103" s="66"/>
      <c r="CQ103" s="66"/>
      <c r="CR103" s="66"/>
      <c r="CS103" s="66"/>
      <c r="CT103" s="66"/>
      <c r="CU103" s="66"/>
      <c r="CV103" s="66">
        <f>+'[1]OCTUBRE 2019'!$H$5315+'[1]OCTUBRE 2019'!$H$5316</f>
        <v>49996663</v>
      </c>
      <c r="CW103" s="66">
        <f>+'[1]OCTUBRE 2019'!$H$5332+'[1]OCTUBRE 2019'!$H$5335</f>
        <v>29529995</v>
      </c>
      <c r="CX103" s="66"/>
      <c r="CY103" s="66"/>
      <c r="CZ103" s="66"/>
      <c r="DA103" s="66">
        <f>'[1]OCTUBRE 2019'!$H$5272-CW103-CV103-CF103</f>
        <v>16650000</v>
      </c>
      <c r="DB103" s="77">
        <f t="shared" si="59"/>
        <v>0.11417621848591419</v>
      </c>
      <c r="DC103" s="66">
        <f t="shared" si="76"/>
        <v>37334270</v>
      </c>
      <c r="DD103" s="66">
        <f t="shared" si="77"/>
        <v>0</v>
      </c>
      <c r="DE103" s="66">
        <f t="shared" si="77"/>
        <v>6522782</v>
      </c>
      <c r="DF103" s="66"/>
      <c r="DG103" s="66">
        <f t="shared" si="85"/>
        <v>0</v>
      </c>
      <c r="DH103" s="66">
        <f t="shared" si="85"/>
        <v>0</v>
      </c>
      <c r="DI103" s="66">
        <f t="shared" si="85"/>
        <v>0</v>
      </c>
      <c r="DJ103" s="66">
        <f t="shared" si="85"/>
        <v>0</v>
      </c>
      <c r="DK103" s="66">
        <f t="shared" si="85"/>
        <v>0</v>
      </c>
      <c r="DL103" s="66">
        <f t="shared" si="85"/>
        <v>0</v>
      </c>
      <c r="DM103" s="66">
        <f t="shared" si="85"/>
        <v>0</v>
      </c>
      <c r="DN103" s="66">
        <f t="shared" si="85"/>
        <v>0</v>
      </c>
      <c r="DO103" s="66">
        <f t="shared" si="85"/>
        <v>0</v>
      </c>
      <c r="DP103" s="66">
        <f t="shared" si="85"/>
        <v>0</v>
      </c>
      <c r="DQ103" s="66">
        <f t="shared" si="85"/>
        <v>0</v>
      </c>
      <c r="DR103" s="66">
        <f t="shared" si="85"/>
        <v>0</v>
      </c>
      <c r="DS103" s="66">
        <f t="shared" si="85"/>
        <v>0</v>
      </c>
      <c r="DT103" s="66">
        <f t="shared" si="85"/>
        <v>0</v>
      </c>
      <c r="DU103" s="66">
        <f t="shared" si="85"/>
        <v>3337</v>
      </c>
      <c r="DV103" s="66">
        <f t="shared" si="83"/>
        <v>30470005</v>
      </c>
      <c r="DW103" s="66">
        <f t="shared" si="79"/>
        <v>0</v>
      </c>
      <c r="DX103" s="66">
        <f t="shared" si="79"/>
        <v>0</v>
      </c>
      <c r="DY103" s="66"/>
      <c r="DZ103" s="66">
        <f t="shared" si="80"/>
        <v>338146</v>
      </c>
      <c r="EC103" s="173">
        <v>326988146</v>
      </c>
      <c r="ED103" s="173">
        <v>289653876</v>
      </c>
      <c r="EE103" s="174">
        <f t="shared" si="52"/>
        <v>0.88582378151408581</v>
      </c>
    </row>
    <row r="104" spans="1:135" ht="34.200000000000003" hidden="1" customHeight="1" x14ac:dyDescent="0.3">
      <c r="A104" s="218"/>
      <c r="B104" s="102"/>
      <c r="C104" s="101" t="s">
        <v>122</v>
      </c>
      <c r="D104" s="71" t="s">
        <v>121</v>
      </c>
      <c r="E104" s="124">
        <v>520</v>
      </c>
      <c r="F104" s="67" t="s">
        <v>120</v>
      </c>
      <c r="G104" s="66">
        <f t="shared" si="67"/>
        <v>96500718</v>
      </c>
      <c r="H104" s="35"/>
      <c r="I104" s="66"/>
      <c r="J104" s="99"/>
      <c r="K104" s="99"/>
      <c r="L104" s="50"/>
      <c r="M104" s="99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99"/>
      <c r="Y104" s="66"/>
      <c r="Z104" s="66"/>
      <c r="AA104" s="66"/>
      <c r="AB104" s="66"/>
      <c r="AC104" s="66"/>
      <c r="AD104" s="66">
        <f>54811394+5000000+30000000+6689324</f>
        <v>96500718</v>
      </c>
      <c r="AE104" s="22">
        <f t="shared" si="81"/>
        <v>0.87760304539910261</v>
      </c>
      <c r="AF104" s="66">
        <f t="shared" si="68"/>
        <v>84689324</v>
      </c>
      <c r="AG104" s="66"/>
      <c r="AH104" s="66"/>
      <c r="AI104" s="66"/>
      <c r="AJ104" s="66"/>
      <c r="AK104" s="66"/>
      <c r="AL104" s="66"/>
      <c r="AM104" s="66"/>
      <c r="AN104" s="66"/>
      <c r="AO104" s="66"/>
      <c r="AP104" s="66"/>
      <c r="AQ104" s="66"/>
      <c r="AR104" s="66"/>
      <c r="AS104" s="66"/>
      <c r="AT104" s="66"/>
      <c r="AU104" s="66"/>
      <c r="AV104" s="66"/>
      <c r="AW104" s="66"/>
      <c r="AX104" s="66"/>
      <c r="AY104" s="66"/>
      <c r="AZ104" s="66"/>
      <c r="BA104" s="66"/>
      <c r="BB104" s="66"/>
      <c r="BC104" s="66">
        <f>+'[2]SEPTIEMBRE 2019'!$AG$4764</f>
        <v>84689324</v>
      </c>
      <c r="BD104" s="22">
        <f t="shared" si="57"/>
        <v>0.12239695460089739</v>
      </c>
      <c r="BE104" s="66">
        <f t="shared" si="69"/>
        <v>11811394</v>
      </c>
      <c r="BF104" s="66">
        <f t="shared" si="86"/>
        <v>0</v>
      </c>
      <c r="BG104" s="66">
        <f t="shared" si="86"/>
        <v>0</v>
      </c>
      <c r="BH104" s="66">
        <f t="shared" si="86"/>
        <v>0</v>
      </c>
      <c r="BI104" s="66">
        <f t="shared" si="71"/>
        <v>0</v>
      </c>
      <c r="BJ104" s="66">
        <f t="shared" si="87"/>
        <v>0</v>
      </c>
      <c r="BK104" s="66">
        <f t="shared" si="87"/>
        <v>0</v>
      </c>
      <c r="BL104" s="66">
        <f t="shared" si="87"/>
        <v>0</v>
      </c>
      <c r="BM104" s="66">
        <f t="shared" si="87"/>
        <v>0</v>
      </c>
      <c r="BN104" s="66">
        <f t="shared" si="87"/>
        <v>0</v>
      </c>
      <c r="BO104" s="66">
        <f t="shared" si="87"/>
        <v>0</v>
      </c>
      <c r="BP104" s="66">
        <f t="shared" si="87"/>
        <v>0</v>
      </c>
      <c r="BQ104" s="66">
        <f t="shared" si="87"/>
        <v>0</v>
      </c>
      <c r="BR104" s="66">
        <f t="shared" si="87"/>
        <v>0</v>
      </c>
      <c r="BS104" s="66">
        <f t="shared" si="87"/>
        <v>0</v>
      </c>
      <c r="BT104" s="66">
        <f t="shared" si="87"/>
        <v>0</v>
      </c>
      <c r="BU104" s="66">
        <f t="shared" si="87"/>
        <v>0</v>
      </c>
      <c r="BV104" s="66">
        <f>X104-AW104</f>
        <v>0</v>
      </c>
      <c r="BW104" s="66">
        <f t="shared" si="88"/>
        <v>0</v>
      </c>
      <c r="BX104" s="66">
        <f t="shared" si="88"/>
        <v>0</v>
      </c>
      <c r="BY104" s="66">
        <f t="shared" si="88"/>
        <v>0</v>
      </c>
      <c r="BZ104" s="66">
        <f t="shared" si="88"/>
        <v>0</v>
      </c>
      <c r="CA104" s="66"/>
      <c r="CB104" s="66">
        <f>AD104-BC104</f>
        <v>11811394</v>
      </c>
      <c r="CC104" s="22">
        <f t="shared" si="58"/>
        <v>0.66356911458420442</v>
      </c>
      <c r="CD104" s="66">
        <f t="shared" si="75"/>
        <v>64034896</v>
      </c>
      <c r="CE104" s="66"/>
      <c r="CF104" s="66"/>
      <c r="CG104" s="66"/>
      <c r="CH104" s="66"/>
      <c r="CI104" s="66"/>
      <c r="CJ104" s="66"/>
      <c r="CK104" s="66"/>
      <c r="CL104" s="66"/>
      <c r="CM104" s="66"/>
      <c r="CN104" s="66"/>
      <c r="CO104" s="66"/>
      <c r="CP104" s="66"/>
      <c r="CQ104" s="66"/>
      <c r="CR104" s="66"/>
      <c r="CS104" s="66"/>
      <c r="CT104" s="66"/>
      <c r="CU104" s="66"/>
      <c r="CV104" s="66"/>
      <c r="CW104" s="66"/>
      <c r="CX104" s="66"/>
      <c r="CY104" s="66"/>
      <c r="CZ104" s="66"/>
      <c r="DA104" s="66">
        <f>+'[2]SEPTIEMBRE 2019'!$H$4762</f>
        <v>64034896</v>
      </c>
      <c r="DB104" s="77">
        <f t="shared" si="59"/>
        <v>0.33643088541579558</v>
      </c>
      <c r="DC104" s="66">
        <f t="shared" si="76"/>
        <v>32465822</v>
      </c>
      <c r="DD104" s="66">
        <f t="shared" si="77"/>
        <v>0</v>
      </c>
      <c r="DE104" s="66">
        <f t="shared" si="77"/>
        <v>0</v>
      </c>
      <c r="DF104" s="66"/>
      <c r="DG104" s="66">
        <f t="shared" si="85"/>
        <v>0</v>
      </c>
      <c r="DH104" s="66">
        <f t="shared" si="85"/>
        <v>0</v>
      </c>
      <c r="DI104" s="66">
        <f t="shared" si="85"/>
        <v>0</v>
      </c>
      <c r="DJ104" s="66">
        <f t="shared" si="85"/>
        <v>0</v>
      </c>
      <c r="DK104" s="66">
        <f t="shared" si="85"/>
        <v>0</v>
      </c>
      <c r="DL104" s="66">
        <f t="shared" si="85"/>
        <v>0</v>
      </c>
      <c r="DM104" s="66">
        <f t="shared" si="85"/>
        <v>0</v>
      </c>
      <c r="DN104" s="66">
        <f t="shared" si="85"/>
        <v>0</v>
      </c>
      <c r="DO104" s="66">
        <f t="shared" si="85"/>
        <v>0</v>
      </c>
      <c r="DP104" s="66">
        <f t="shared" si="85"/>
        <v>0</v>
      </c>
      <c r="DQ104" s="66">
        <f t="shared" si="85"/>
        <v>0</v>
      </c>
      <c r="DR104" s="66">
        <f t="shared" si="85"/>
        <v>0</v>
      </c>
      <c r="DS104" s="66">
        <f t="shared" si="85"/>
        <v>0</v>
      </c>
      <c r="DT104" s="66">
        <f t="shared" si="85"/>
        <v>0</v>
      </c>
      <c r="DU104" s="66">
        <f t="shared" si="85"/>
        <v>0</v>
      </c>
      <c r="DV104" s="66">
        <f t="shared" si="83"/>
        <v>0</v>
      </c>
      <c r="DW104" s="66">
        <f t="shared" si="79"/>
        <v>0</v>
      </c>
      <c r="DX104" s="66">
        <f t="shared" si="79"/>
        <v>0</v>
      </c>
      <c r="DY104" s="66"/>
      <c r="DZ104" s="66">
        <f t="shared" si="80"/>
        <v>32465822</v>
      </c>
      <c r="EC104" s="173">
        <v>96500718</v>
      </c>
      <c r="ED104" s="173">
        <v>64034896</v>
      </c>
      <c r="EE104" s="174">
        <f t="shared" si="52"/>
        <v>0.66356911458420442</v>
      </c>
    </row>
    <row r="105" spans="1:135" s="59" customFormat="1" ht="20.25" customHeight="1" thickTop="1" thickBot="1" x14ac:dyDescent="0.35">
      <c r="A105" s="85"/>
      <c r="B105" s="278" t="s">
        <v>119</v>
      </c>
      <c r="C105" s="279"/>
      <c r="D105" s="279"/>
      <c r="E105" s="279"/>
      <c r="F105" s="280"/>
      <c r="G105" s="61">
        <f t="shared" ref="G105:AD105" si="89">SUM(G82:G104)</f>
        <v>4542835904</v>
      </c>
      <c r="H105" s="61">
        <f t="shared" si="89"/>
        <v>0</v>
      </c>
      <c r="I105" s="61">
        <f t="shared" si="89"/>
        <v>835000000</v>
      </c>
      <c r="J105" s="61">
        <f t="shared" si="89"/>
        <v>0</v>
      </c>
      <c r="K105" s="61">
        <f t="shared" si="89"/>
        <v>114000000</v>
      </c>
      <c r="L105" s="61">
        <f t="shared" si="89"/>
        <v>0</v>
      </c>
      <c r="M105" s="61">
        <f t="shared" si="89"/>
        <v>0</v>
      </c>
      <c r="N105" s="61">
        <f t="shared" si="89"/>
        <v>0</v>
      </c>
      <c r="O105" s="61">
        <f t="shared" si="89"/>
        <v>0</v>
      </c>
      <c r="P105" s="61">
        <f t="shared" si="89"/>
        <v>0</v>
      </c>
      <c r="Q105" s="61">
        <f t="shared" si="89"/>
        <v>0</v>
      </c>
      <c r="R105" s="61">
        <f t="shared" si="89"/>
        <v>0</v>
      </c>
      <c r="S105" s="61">
        <f t="shared" si="89"/>
        <v>0</v>
      </c>
      <c r="T105" s="61">
        <f t="shared" si="89"/>
        <v>0</v>
      </c>
      <c r="U105" s="61">
        <f t="shared" si="89"/>
        <v>0</v>
      </c>
      <c r="V105" s="61">
        <f t="shared" si="89"/>
        <v>0</v>
      </c>
      <c r="W105" s="61">
        <f t="shared" si="89"/>
        <v>2115618253</v>
      </c>
      <c r="X105" s="61">
        <f t="shared" si="89"/>
        <v>312000000</v>
      </c>
      <c r="Y105" s="61">
        <f t="shared" si="89"/>
        <v>132565530</v>
      </c>
      <c r="Z105" s="61">
        <f t="shared" si="89"/>
        <v>210000000</v>
      </c>
      <c r="AA105" s="61">
        <f t="shared" si="89"/>
        <v>0</v>
      </c>
      <c r="AB105" s="61">
        <f t="shared" si="89"/>
        <v>0</v>
      </c>
      <c r="AC105" s="61">
        <f t="shared" si="89"/>
        <v>0</v>
      </c>
      <c r="AD105" s="61">
        <f t="shared" si="89"/>
        <v>823652121</v>
      </c>
      <c r="AE105" s="62">
        <f t="shared" si="81"/>
        <v>0.70256471297801915</v>
      </c>
      <c r="AF105" s="61">
        <f>SUM(AF82:AF104)</f>
        <v>3191636203</v>
      </c>
      <c r="AG105" s="61">
        <f>SUM(AG82:AG104)</f>
        <v>0</v>
      </c>
      <c r="AH105" s="61">
        <f>SUM(AH82:AH104)</f>
        <v>723629579</v>
      </c>
      <c r="AI105" s="61">
        <f>SUM(AI82:AI104)</f>
        <v>0</v>
      </c>
      <c r="AJ105" s="61"/>
      <c r="AK105" s="61">
        <f t="shared" ref="AK105:BC105" si="90">SUM(AK82:AK104)</f>
        <v>0</v>
      </c>
      <c r="AL105" s="61">
        <f t="shared" si="90"/>
        <v>0</v>
      </c>
      <c r="AM105" s="61">
        <f t="shared" si="90"/>
        <v>0</v>
      </c>
      <c r="AN105" s="61">
        <f t="shared" si="90"/>
        <v>0</v>
      </c>
      <c r="AO105" s="61">
        <f t="shared" si="90"/>
        <v>0</v>
      </c>
      <c r="AP105" s="61">
        <f t="shared" si="90"/>
        <v>0</v>
      </c>
      <c r="AQ105" s="61">
        <f t="shared" si="90"/>
        <v>0</v>
      </c>
      <c r="AR105" s="61">
        <f t="shared" si="90"/>
        <v>0</v>
      </c>
      <c r="AS105" s="61">
        <f t="shared" si="90"/>
        <v>0</v>
      </c>
      <c r="AT105" s="61">
        <f t="shared" si="90"/>
        <v>0</v>
      </c>
      <c r="AU105" s="61">
        <f t="shared" si="90"/>
        <v>0</v>
      </c>
      <c r="AV105" s="61">
        <f t="shared" si="90"/>
        <v>1147808427</v>
      </c>
      <c r="AW105" s="61">
        <f t="shared" si="90"/>
        <v>254812711</v>
      </c>
      <c r="AX105" s="61">
        <f t="shared" si="90"/>
        <v>132163690</v>
      </c>
      <c r="AY105" s="61">
        <f t="shared" si="90"/>
        <v>185055761</v>
      </c>
      <c r="AZ105" s="61">
        <f t="shared" si="90"/>
        <v>0</v>
      </c>
      <c r="BA105" s="61">
        <f t="shared" si="90"/>
        <v>0</v>
      </c>
      <c r="BB105" s="61">
        <f t="shared" si="90"/>
        <v>0</v>
      </c>
      <c r="BC105" s="61">
        <f t="shared" si="90"/>
        <v>748166035</v>
      </c>
      <c r="BD105" s="62">
        <f t="shared" si="57"/>
        <v>0.29743528702198085</v>
      </c>
      <c r="BE105" s="61">
        <f t="shared" ref="BE105:CB105" si="91">SUM(BE82:BE104)</f>
        <v>1351199701</v>
      </c>
      <c r="BF105" s="61">
        <f t="shared" si="91"/>
        <v>0</v>
      </c>
      <c r="BG105" s="61">
        <f t="shared" si="91"/>
        <v>111370421</v>
      </c>
      <c r="BH105" s="61">
        <f t="shared" si="91"/>
        <v>0</v>
      </c>
      <c r="BI105" s="61">
        <f t="shared" si="91"/>
        <v>114000000</v>
      </c>
      <c r="BJ105" s="61">
        <f t="shared" si="91"/>
        <v>0</v>
      </c>
      <c r="BK105" s="61">
        <f t="shared" si="91"/>
        <v>0</v>
      </c>
      <c r="BL105" s="61">
        <f t="shared" si="91"/>
        <v>0</v>
      </c>
      <c r="BM105" s="61">
        <f t="shared" si="91"/>
        <v>0</v>
      </c>
      <c r="BN105" s="61">
        <f t="shared" si="91"/>
        <v>0</v>
      </c>
      <c r="BO105" s="61">
        <f t="shared" si="91"/>
        <v>0</v>
      </c>
      <c r="BP105" s="61">
        <f t="shared" si="91"/>
        <v>0</v>
      </c>
      <c r="BQ105" s="61">
        <f t="shared" si="91"/>
        <v>0</v>
      </c>
      <c r="BR105" s="61">
        <f t="shared" si="91"/>
        <v>0</v>
      </c>
      <c r="BS105" s="61">
        <f t="shared" si="91"/>
        <v>0</v>
      </c>
      <c r="BT105" s="61">
        <f t="shared" si="91"/>
        <v>0</v>
      </c>
      <c r="BU105" s="61">
        <f t="shared" si="91"/>
        <v>967809826</v>
      </c>
      <c r="BV105" s="61">
        <f t="shared" si="91"/>
        <v>57187289</v>
      </c>
      <c r="BW105" s="61">
        <f t="shared" si="91"/>
        <v>401840</v>
      </c>
      <c r="BX105" s="61">
        <f t="shared" si="91"/>
        <v>24944239</v>
      </c>
      <c r="BY105" s="61">
        <f t="shared" si="91"/>
        <v>0</v>
      </c>
      <c r="BZ105" s="61">
        <f t="shared" si="91"/>
        <v>0</v>
      </c>
      <c r="CA105" s="61">
        <f t="shared" si="91"/>
        <v>0</v>
      </c>
      <c r="CB105" s="61">
        <f t="shared" si="91"/>
        <v>75486086</v>
      </c>
      <c r="CC105" s="62">
        <f t="shared" si="58"/>
        <v>0.62252565440673246</v>
      </c>
      <c r="CD105" s="61">
        <f>SUM(CD82:CD104)</f>
        <v>2828031894</v>
      </c>
      <c r="CE105" s="61">
        <f>SUM(CE82:CE104)</f>
        <v>0</v>
      </c>
      <c r="CF105" s="61">
        <f>SUM(CF82:CF104)</f>
        <v>690697980</v>
      </c>
      <c r="CG105" s="61">
        <f>SUM(CG82:CG104)</f>
        <v>0</v>
      </c>
      <c r="CH105" s="61"/>
      <c r="CI105" s="61">
        <f t="shared" ref="CI105:DA105" si="92">SUM(CI82:CI104)</f>
        <v>0</v>
      </c>
      <c r="CJ105" s="61">
        <f t="shared" si="92"/>
        <v>0</v>
      </c>
      <c r="CK105" s="61">
        <f t="shared" si="92"/>
        <v>0</v>
      </c>
      <c r="CL105" s="61">
        <f t="shared" si="92"/>
        <v>0</v>
      </c>
      <c r="CM105" s="61">
        <f t="shared" si="92"/>
        <v>0</v>
      </c>
      <c r="CN105" s="61">
        <f t="shared" si="92"/>
        <v>0</v>
      </c>
      <c r="CO105" s="61">
        <f t="shared" si="92"/>
        <v>0</v>
      </c>
      <c r="CP105" s="61">
        <f t="shared" si="92"/>
        <v>0</v>
      </c>
      <c r="CQ105" s="61">
        <f t="shared" si="92"/>
        <v>0</v>
      </c>
      <c r="CR105" s="61">
        <f t="shared" si="92"/>
        <v>0</v>
      </c>
      <c r="CS105" s="61">
        <f t="shared" si="92"/>
        <v>0</v>
      </c>
      <c r="CT105" s="61">
        <f t="shared" si="92"/>
        <v>925151991</v>
      </c>
      <c r="CU105" s="61">
        <f t="shared" si="92"/>
        <v>232990834</v>
      </c>
      <c r="CV105" s="61">
        <f t="shared" si="92"/>
        <v>131194801</v>
      </c>
      <c r="CW105" s="61">
        <f t="shared" si="92"/>
        <v>174779088</v>
      </c>
      <c r="CX105" s="61">
        <f t="shared" si="92"/>
        <v>0</v>
      </c>
      <c r="CY105" s="61">
        <f t="shared" si="92"/>
        <v>0</v>
      </c>
      <c r="CZ105" s="61">
        <f t="shared" si="92"/>
        <v>0</v>
      </c>
      <c r="DA105" s="61">
        <f t="shared" si="92"/>
        <v>673217200</v>
      </c>
      <c r="DB105" s="62">
        <f t="shared" si="59"/>
        <v>0.37747434559326754</v>
      </c>
      <c r="DC105" s="100">
        <f t="shared" si="76"/>
        <v>1714804010</v>
      </c>
      <c r="DD105" s="61">
        <f t="shared" ref="DD105:DZ105" si="93">SUM(DD82:DD104)</f>
        <v>0</v>
      </c>
      <c r="DE105" s="61">
        <f t="shared" si="93"/>
        <v>144302020</v>
      </c>
      <c r="DF105" s="61">
        <f t="shared" si="93"/>
        <v>0</v>
      </c>
      <c r="DG105" s="61">
        <f t="shared" si="93"/>
        <v>114000000</v>
      </c>
      <c r="DH105" s="61">
        <f t="shared" si="93"/>
        <v>0</v>
      </c>
      <c r="DI105" s="61">
        <f t="shared" si="93"/>
        <v>0</v>
      </c>
      <c r="DJ105" s="61">
        <f t="shared" si="93"/>
        <v>0</v>
      </c>
      <c r="DK105" s="61">
        <f t="shared" si="93"/>
        <v>0</v>
      </c>
      <c r="DL105" s="61">
        <f t="shared" si="93"/>
        <v>0</v>
      </c>
      <c r="DM105" s="61">
        <f t="shared" si="93"/>
        <v>0</v>
      </c>
      <c r="DN105" s="61">
        <f t="shared" si="93"/>
        <v>0</v>
      </c>
      <c r="DO105" s="61">
        <f t="shared" si="93"/>
        <v>0</v>
      </c>
      <c r="DP105" s="61">
        <f t="shared" si="93"/>
        <v>0</v>
      </c>
      <c r="DQ105" s="61">
        <f t="shared" si="93"/>
        <v>0</v>
      </c>
      <c r="DR105" s="61">
        <f t="shared" si="93"/>
        <v>0</v>
      </c>
      <c r="DS105" s="61">
        <f t="shared" si="93"/>
        <v>1190466262</v>
      </c>
      <c r="DT105" s="61">
        <f t="shared" si="93"/>
        <v>79009166</v>
      </c>
      <c r="DU105" s="61">
        <f t="shared" si="93"/>
        <v>1370729</v>
      </c>
      <c r="DV105" s="61">
        <f t="shared" si="93"/>
        <v>35220912</v>
      </c>
      <c r="DW105" s="61">
        <f t="shared" si="93"/>
        <v>0</v>
      </c>
      <c r="DX105" s="61">
        <f t="shared" si="93"/>
        <v>0</v>
      </c>
      <c r="DY105" s="61">
        <f t="shared" si="93"/>
        <v>0</v>
      </c>
      <c r="DZ105" s="61">
        <f t="shared" si="93"/>
        <v>150434921</v>
      </c>
      <c r="EB105" s="165" t="s">
        <v>427</v>
      </c>
      <c r="EC105" s="173">
        <v>4542835904</v>
      </c>
      <c r="ED105" s="173">
        <v>2828031894</v>
      </c>
      <c r="EE105" s="174">
        <f t="shared" ref="EE105:EE143" si="94">+CC105</f>
        <v>0.62252565440673246</v>
      </c>
    </row>
    <row r="106" spans="1:135" s="59" customFormat="1" ht="29.4" hidden="1" customHeight="1" thickTop="1" x14ac:dyDescent="0.3">
      <c r="A106" s="224" t="s">
        <v>16</v>
      </c>
      <c r="B106" s="212" t="s">
        <v>118</v>
      </c>
      <c r="C106" s="70" t="s">
        <v>117</v>
      </c>
      <c r="D106" s="69" t="s">
        <v>116</v>
      </c>
      <c r="E106" s="124">
        <v>301</v>
      </c>
      <c r="F106" s="67" t="s">
        <v>21</v>
      </c>
      <c r="G106" s="66">
        <f t="shared" ref="G106:G121" si="95">SUM(H106:AD106)</f>
        <v>16000000</v>
      </c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  <c r="AA106" s="66">
        <v>16000000</v>
      </c>
      <c r="AB106" s="66"/>
      <c r="AC106" s="66"/>
      <c r="AD106" s="66"/>
      <c r="AE106" s="22">
        <f t="shared" si="81"/>
        <v>1</v>
      </c>
      <c r="AF106" s="66">
        <f t="shared" ref="AF106:AF121" si="96">SUM(AG106:BC106)</f>
        <v>16000000</v>
      </c>
      <c r="AG106" s="66"/>
      <c r="AH106" s="66"/>
      <c r="AI106" s="66"/>
      <c r="AJ106" s="66"/>
      <c r="AK106" s="66"/>
      <c r="AL106" s="66"/>
      <c r="AM106" s="66"/>
      <c r="AN106" s="66"/>
      <c r="AO106" s="66"/>
      <c r="AP106" s="66"/>
      <c r="AQ106" s="66"/>
      <c r="AR106" s="66"/>
      <c r="AS106" s="66"/>
      <c r="AT106" s="66"/>
      <c r="AU106" s="66"/>
      <c r="AV106" s="66"/>
      <c r="AW106" s="66"/>
      <c r="AX106" s="66"/>
      <c r="AY106" s="66"/>
      <c r="AZ106" s="66">
        <f>+'[2]SEPTIEMBRE 2019'!$AC$976</f>
        <v>16000000</v>
      </c>
      <c r="BA106" s="66"/>
      <c r="BB106" s="66"/>
      <c r="BC106" s="66"/>
      <c r="BD106" s="22">
        <f t="shared" si="57"/>
        <v>0</v>
      </c>
      <c r="BE106" s="66">
        <f t="shared" ref="BE106:BE121" si="97">SUM(BF106:CB106)</f>
        <v>0</v>
      </c>
      <c r="BF106" s="66">
        <f t="shared" ref="BF106:BH108" si="98">H106-AG106</f>
        <v>0</v>
      </c>
      <c r="BG106" s="66">
        <f t="shared" si="98"/>
        <v>0</v>
      </c>
      <c r="BH106" s="66">
        <f t="shared" si="98"/>
        <v>0</v>
      </c>
      <c r="BI106" s="66">
        <f t="shared" ref="BI106:BI121" si="99">+K106-AJ106</f>
        <v>0</v>
      </c>
      <c r="BJ106" s="66">
        <f t="shared" ref="BJ106:BY108" si="100">L106-AK106</f>
        <v>0</v>
      </c>
      <c r="BK106" s="66">
        <f t="shared" si="100"/>
        <v>0</v>
      </c>
      <c r="BL106" s="66">
        <f t="shared" si="100"/>
        <v>0</v>
      </c>
      <c r="BM106" s="66">
        <f t="shared" si="100"/>
        <v>0</v>
      </c>
      <c r="BN106" s="66">
        <f t="shared" si="100"/>
        <v>0</v>
      </c>
      <c r="BO106" s="66">
        <f t="shared" si="100"/>
        <v>0</v>
      </c>
      <c r="BP106" s="66">
        <f t="shared" si="100"/>
        <v>0</v>
      </c>
      <c r="BQ106" s="66">
        <f t="shared" si="100"/>
        <v>0</v>
      </c>
      <c r="BR106" s="66">
        <f t="shared" si="100"/>
        <v>0</v>
      </c>
      <c r="BS106" s="66">
        <f t="shared" si="100"/>
        <v>0</v>
      </c>
      <c r="BT106" s="66">
        <f t="shared" si="100"/>
        <v>0</v>
      </c>
      <c r="BU106" s="66">
        <f t="shared" si="100"/>
        <v>0</v>
      </c>
      <c r="BV106" s="66">
        <f t="shared" si="100"/>
        <v>0</v>
      </c>
      <c r="BW106" s="66">
        <f t="shared" si="100"/>
        <v>0</v>
      </c>
      <c r="BX106" s="66">
        <f t="shared" si="100"/>
        <v>0</v>
      </c>
      <c r="BY106" s="66">
        <f t="shared" si="100"/>
        <v>0</v>
      </c>
      <c r="BZ106" s="66">
        <f t="shared" ref="BT106:BZ121" si="101">AB106-BA106</f>
        <v>0</v>
      </c>
      <c r="CA106" s="66"/>
      <c r="CB106" s="66">
        <f>AD106-BC106</f>
        <v>0</v>
      </c>
      <c r="CC106" s="22">
        <f t="shared" si="58"/>
        <v>0.86291662499999999</v>
      </c>
      <c r="CD106" s="66">
        <f t="shared" ref="CD106:CD121" si="102">SUM(CE106:DA106)</f>
        <v>13806666</v>
      </c>
      <c r="CE106" s="66"/>
      <c r="CF106" s="66"/>
      <c r="CG106" s="66"/>
      <c r="CH106" s="66"/>
      <c r="CI106" s="66"/>
      <c r="CJ106" s="66"/>
      <c r="CK106" s="66"/>
      <c r="CL106" s="66"/>
      <c r="CM106" s="66"/>
      <c r="CN106" s="66"/>
      <c r="CO106" s="66"/>
      <c r="CP106" s="66"/>
      <c r="CQ106" s="66"/>
      <c r="CR106" s="66"/>
      <c r="CS106" s="66"/>
      <c r="CT106" s="66"/>
      <c r="CU106" s="66"/>
      <c r="CV106" s="66"/>
      <c r="CW106" s="66"/>
      <c r="CX106" s="66">
        <f>+'[2]SEPTIEMBRE 2019'!$H$974</f>
        <v>13806666</v>
      </c>
      <c r="CY106" s="66"/>
      <c r="CZ106" s="66"/>
      <c r="DA106" s="66"/>
      <c r="DB106" s="22">
        <f t="shared" si="59"/>
        <v>0.13708337500000001</v>
      </c>
      <c r="DC106" s="99">
        <f t="shared" si="76"/>
        <v>2193334</v>
      </c>
      <c r="DD106" s="66">
        <f t="shared" ref="DD106:DE117" si="103">H106-CE106</f>
        <v>0</v>
      </c>
      <c r="DE106" s="66">
        <f t="shared" si="103"/>
        <v>0</v>
      </c>
      <c r="DF106" s="66"/>
      <c r="DG106" s="66">
        <f t="shared" ref="DG106:DV117" si="104">K106-CH106</f>
        <v>0</v>
      </c>
      <c r="DH106" s="66">
        <f t="shared" si="104"/>
        <v>0</v>
      </c>
      <c r="DI106" s="66">
        <f t="shared" si="104"/>
        <v>0</v>
      </c>
      <c r="DJ106" s="66">
        <f t="shared" si="104"/>
        <v>0</v>
      </c>
      <c r="DK106" s="66">
        <f t="shared" si="104"/>
        <v>0</v>
      </c>
      <c r="DL106" s="66">
        <f t="shared" si="104"/>
        <v>0</v>
      </c>
      <c r="DM106" s="66">
        <f t="shared" si="104"/>
        <v>0</v>
      </c>
      <c r="DN106" s="66">
        <f t="shared" si="104"/>
        <v>0</v>
      </c>
      <c r="DO106" s="66">
        <f t="shared" si="104"/>
        <v>0</v>
      </c>
      <c r="DP106" s="66">
        <f t="shared" si="104"/>
        <v>0</v>
      </c>
      <c r="DQ106" s="66">
        <f t="shared" si="104"/>
        <v>0</v>
      </c>
      <c r="DR106" s="66">
        <f t="shared" si="104"/>
        <v>0</v>
      </c>
      <c r="DS106" s="66">
        <f t="shared" si="104"/>
        <v>0</v>
      </c>
      <c r="DT106" s="66">
        <f t="shared" si="104"/>
        <v>0</v>
      </c>
      <c r="DU106" s="66">
        <f t="shared" si="104"/>
        <v>0</v>
      </c>
      <c r="DV106" s="66">
        <f t="shared" si="104"/>
        <v>0</v>
      </c>
      <c r="DW106" s="66">
        <f t="shared" ref="DW106:DX117" si="105">AA106-CX106</f>
        <v>2193334</v>
      </c>
      <c r="DX106" s="66">
        <f t="shared" si="105"/>
        <v>0</v>
      </c>
      <c r="DY106" s="66"/>
      <c r="DZ106" s="66">
        <f t="shared" ref="DZ106:DZ117" si="106">AD106-DA106</f>
        <v>0</v>
      </c>
      <c r="EC106" s="173">
        <v>16000000</v>
      </c>
      <c r="ED106" s="173">
        <v>13806666</v>
      </c>
      <c r="EE106" s="174">
        <f t="shared" si="94"/>
        <v>0.86291662499999999</v>
      </c>
    </row>
    <row r="107" spans="1:135" s="59" customFormat="1" ht="16.2" hidden="1" customHeight="1" x14ac:dyDescent="0.3">
      <c r="A107" s="224"/>
      <c r="B107" s="225"/>
      <c r="C107" s="70" t="s">
        <v>115</v>
      </c>
      <c r="D107" s="69" t="s">
        <v>114</v>
      </c>
      <c r="E107" s="124">
        <v>301</v>
      </c>
      <c r="F107" s="67" t="s">
        <v>21</v>
      </c>
      <c r="G107" s="66">
        <f t="shared" si="95"/>
        <v>64000000</v>
      </c>
      <c r="H107" s="66">
        <v>14000000</v>
      </c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  <c r="AA107" s="66">
        <v>50000000</v>
      </c>
      <c r="AB107" s="66"/>
      <c r="AC107" s="66"/>
      <c r="AD107" s="66"/>
      <c r="AE107" s="22">
        <f t="shared" si="81"/>
        <v>1</v>
      </c>
      <c r="AF107" s="66">
        <f t="shared" si="96"/>
        <v>64000000</v>
      </c>
      <c r="AG107" s="66">
        <f>+'[11]JULIO 2019'!$J$717</f>
        <v>14000000</v>
      </c>
      <c r="AH107" s="66"/>
      <c r="AI107" s="66"/>
      <c r="AJ107" s="66"/>
      <c r="AK107" s="66"/>
      <c r="AL107" s="66"/>
      <c r="AM107" s="66"/>
      <c r="AN107" s="66"/>
      <c r="AO107" s="66"/>
      <c r="AP107" s="66"/>
      <c r="AQ107" s="66"/>
      <c r="AR107" s="66"/>
      <c r="AS107" s="66"/>
      <c r="AT107" s="66"/>
      <c r="AU107" s="66"/>
      <c r="AV107" s="66"/>
      <c r="AW107" s="66"/>
      <c r="AX107" s="66"/>
      <c r="AY107" s="66"/>
      <c r="AZ107" s="66">
        <f>+'[9]ENERO 2019'!$AB$198</f>
        <v>50000000</v>
      </c>
      <c r="BA107" s="66"/>
      <c r="BB107" s="66"/>
      <c r="BC107" s="66"/>
      <c r="BD107" s="22">
        <f t="shared" si="57"/>
        <v>0</v>
      </c>
      <c r="BE107" s="66">
        <f t="shared" si="97"/>
        <v>0</v>
      </c>
      <c r="BF107" s="66">
        <f t="shared" si="98"/>
        <v>0</v>
      </c>
      <c r="BG107" s="66">
        <f t="shared" si="98"/>
        <v>0</v>
      </c>
      <c r="BH107" s="66">
        <f t="shared" si="98"/>
        <v>0</v>
      </c>
      <c r="BI107" s="66">
        <f t="shared" si="99"/>
        <v>0</v>
      </c>
      <c r="BJ107" s="66">
        <f t="shared" si="100"/>
        <v>0</v>
      </c>
      <c r="BK107" s="66">
        <f t="shared" si="100"/>
        <v>0</v>
      </c>
      <c r="BL107" s="66">
        <f t="shared" si="100"/>
        <v>0</v>
      </c>
      <c r="BM107" s="66">
        <f t="shared" si="100"/>
        <v>0</v>
      </c>
      <c r="BN107" s="66">
        <f t="shared" si="100"/>
        <v>0</v>
      </c>
      <c r="BO107" s="66">
        <f t="shared" si="100"/>
        <v>0</v>
      </c>
      <c r="BP107" s="66">
        <f t="shared" si="100"/>
        <v>0</v>
      </c>
      <c r="BQ107" s="66">
        <f t="shared" si="100"/>
        <v>0</v>
      </c>
      <c r="BR107" s="66">
        <f t="shared" si="100"/>
        <v>0</v>
      </c>
      <c r="BS107" s="66">
        <f t="shared" si="100"/>
        <v>0</v>
      </c>
      <c r="BT107" s="66">
        <f t="shared" si="101"/>
        <v>0</v>
      </c>
      <c r="BU107" s="66">
        <f t="shared" si="101"/>
        <v>0</v>
      </c>
      <c r="BV107" s="66">
        <f t="shared" si="101"/>
        <v>0</v>
      </c>
      <c r="BW107" s="66">
        <f t="shared" si="101"/>
        <v>0</v>
      </c>
      <c r="BX107" s="66">
        <f t="shared" si="101"/>
        <v>0</v>
      </c>
      <c r="BY107" s="66">
        <f t="shared" si="101"/>
        <v>0</v>
      </c>
      <c r="BZ107" s="66">
        <f t="shared" si="101"/>
        <v>0</v>
      </c>
      <c r="CA107" s="66"/>
      <c r="CB107" s="66">
        <f>AD107-BC107</f>
        <v>0</v>
      </c>
      <c r="CC107" s="22">
        <f t="shared" si="58"/>
        <v>0.9962760625</v>
      </c>
      <c r="CD107" s="66">
        <f t="shared" si="102"/>
        <v>63761668</v>
      </c>
      <c r="CE107" s="66">
        <f>+'[2]SEPTIEMBRE 2019'!$H$1010</f>
        <v>13761668</v>
      </c>
      <c r="CF107" s="66"/>
      <c r="CG107" s="66"/>
      <c r="CH107" s="66"/>
      <c r="CI107" s="66"/>
      <c r="CJ107" s="66"/>
      <c r="CK107" s="66"/>
      <c r="CL107" s="66"/>
      <c r="CM107" s="66"/>
      <c r="CN107" s="66"/>
      <c r="CO107" s="66"/>
      <c r="CP107" s="66"/>
      <c r="CQ107" s="66"/>
      <c r="CR107" s="66"/>
      <c r="CS107" s="66"/>
      <c r="CT107" s="66"/>
      <c r="CU107" s="66"/>
      <c r="CV107" s="66"/>
      <c r="CW107" s="66"/>
      <c r="CX107" s="66">
        <f>+'[2]SEPTIEMBRE 2019'!$H$987-CE107</f>
        <v>50000000</v>
      </c>
      <c r="CY107" s="66"/>
      <c r="CZ107" s="66"/>
      <c r="DA107" s="66"/>
      <c r="DB107" s="22">
        <f t="shared" si="59"/>
        <v>3.7239374999999963E-3</v>
      </c>
      <c r="DC107" s="66">
        <f t="shared" si="76"/>
        <v>238332</v>
      </c>
      <c r="DD107" s="66">
        <f t="shared" si="103"/>
        <v>238332</v>
      </c>
      <c r="DE107" s="66">
        <f t="shared" si="103"/>
        <v>0</v>
      </c>
      <c r="DF107" s="66"/>
      <c r="DG107" s="66">
        <f t="shared" si="104"/>
        <v>0</v>
      </c>
      <c r="DH107" s="66">
        <f t="shared" si="104"/>
        <v>0</v>
      </c>
      <c r="DI107" s="66">
        <f t="shared" si="104"/>
        <v>0</v>
      </c>
      <c r="DJ107" s="66">
        <f t="shared" si="104"/>
        <v>0</v>
      </c>
      <c r="DK107" s="66">
        <f t="shared" si="104"/>
        <v>0</v>
      </c>
      <c r="DL107" s="66">
        <f t="shared" si="104"/>
        <v>0</v>
      </c>
      <c r="DM107" s="66">
        <f t="shared" si="104"/>
        <v>0</v>
      </c>
      <c r="DN107" s="66">
        <f t="shared" si="104"/>
        <v>0</v>
      </c>
      <c r="DO107" s="66">
        <f t="shared" si="104"/>
        <v>0</v>
      </c>
      <c r="DP107" s="66">
        <f t="shared" si="104"/>
        <v>0</v>
      </c>
      <c r="DQ107" s="66">
        <f t="shared" si="104"/>
        <v>0</v>
      </c>
      <c r="DR107" s="66">
        <f t="shared" si="104"/>
        <v>0</v>
      </c>
      <c r="DS107" s="66">
        <f t="shared" si="104"/>
        <v>0</v>
      </c>
      <c r="DT107" s="66">
        <f t="shared" si="104"/>
        <v>0</v>
      </c>
      <c r="DU107" s="66">
        <f t="shared" si="104"/>
        <v>0</v>
      </c>
      <c r="DV107" s="66">
        <f t="shared" si="104"/>
        <v>0</v>
      </c>
      <c r="DW107" s="66">
        <f t="shared" si="105"/>
        <v>0</v>
      </c>
      <c r="DX107" s="66">
        <f t="shared" si="105"/>
        <v>0</v>
      </c>
      <c r="DY107" s="66"/>
      <c r="DZ107" s="66">
        <f t="shared" si="106"/>
        <v>0</v>
      </c>
      <c r="EC107" s="173">
        <v>64000000</v>
      </c>
      <c r="ED107" s="173">
        <v>63761668</v>
      </c>
      <c r="EE107" s="174">
        <f t="shared" si="94"/>
        <v>0.9962760625</v>
      </c>
    </row>
    <row r="108" spans="1:135" s="59" customFormat="1" ht="33" hidden="1" customHeight="1" x14ac:dyDescent="0.3">
      <c r="A108" s="224"/>
      <c r="B108" s="225"/>
      <c r="C108" s="70" t="s">
        <v>113</v>
      </c>
      <c r="D108" s="69" t="s">
        <v>112</v>
      </c>
      <c r="E108" s="124">
        <v>301</v>
      </c>
      <c r="F108" s="67" t="s">
        <v>21</v>
      </c>
      <c r="G108" s="66">
        <f t="shared" si="95"/>
        <v>60000000</v>
      </c>
      <c r="H108" s="66">
        <v>15000000</v>
      </c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  <c r="AA108" s="66">
        <f>30000000+15000000</f>
        <v>45000000</v>
      </c>
      <c r="AB108" s="66"/>
      <c r="AC108" s="66"/>
      <c r="AD108" s="66"/>
      <c r="AE108" s="22">
        <f t="shared" si="81"/>
        <v>1</v>
      </c>
      <c r="AF108" s="66">
        <f t="shared" si="96"/>
        <v>60000000</v>
      </c>
      <c r="AG108" s="66">
        <f>+'[11]JULIO 2019'!$J$746</f>
        <v>15000000</v>
      </c>
      <c r="AH108" s="66"/>
      <c r="AI108" s="66"/>
      <c r="AJ108" s="66"/>
      <c r="AK108" s="66"/>
      <c r="AL108" s="66"/>
      <c r="AM108" s="66"/>
      <c r="AN108" s="66"/>
      <c r="AO108" s="66"/>
      <c r="AP108" s="66"/>
      <c r="AQ108" s="66"/>
      <c r="AR108" s="66"/>
      <c r="AS108" s="66"/>
      <c r="AT108" s="66"/>
      <c r="AU108" s="66"/>
      <c r="AV108" s="66"/>
      <c r="AW108" s="66"/>
      <c r="AX108" s="66"/>
      <c r="AY108" s="66"/>
      <c r="AZ108" s="66">
        <f>+'[6]MAYO 2019'!$AB$487</f>
        <v>45000000</v>
      </c>
      <c r="BA108" s="66"/>
      <c r="BB108" s="66"/>
      <c r="BC108" s="66"/>
      <c r="BD108" s="22">
        <f t="shared" si="57"/>
        <v>0</v>
      </c>
      <c r="BE108" s="66">
        <f t="shared" si="97"/>
        <v>0</v>
      </c>
      <c r="BF108" s="66">
        <f t="shared" si="98"/>
        <v>0</v>
      </c>
      <c r="BG108" s="66">
        <f t="shared" si="98"/>
        <v>0</v>
      </c>
      <c r="BH108" s="66">
        <f t="shared" si="98"/>
        <v>0</v>
      </c>
      <c r="BI108" s="66">
        <f t="shared" si="99"/>
        <v>0</v>
      </c>
      <c r="BJ108" s="66">
        <f t="shared" si="100"/>
        <v>0</v>
      </c>
      <c r="BK108" s="66">
        <f t="shared" si="100"/>
        <v>0</v>
      </c>
      <c r="BL108" s="66">
        <f t="shared" si="100"/>
        <v>0</v>
      </c>
      <c r="BM108" s="66">
        <f t="shared" si="100"/>
        <v>0</v>
      </c>
      <c r="BN108" s="66">
        <f t="shared" si="100"/>
        <v>0</v>
      </c>
      <c r="BO108" s="66">
        <f t="shared" si="100"/>
        <v>0</v>
      </c>
      <c r="BP108" s="66">
        <f t="shared" si="100"/>
        <v>0</v>
      </c>
      <c r="BQ108" s="66">
        <f t="shared" si="100"/>
        <v>0</v>
      </c>
      <c r="BR108" s="66">
        <f t="shared" si="100"/>
        <v>0</v>
      </c>
      <c r="BS108" s="66">
        <f t="shared" si="100"/>
        <v>0</v>
      </c>
      <c r="BT108" s="66">
        <f t="shared" si="101"/>
        <v>0</v>
      </c>
      <c r="BU108" s="66">
        <f t="shared" si="101"/>
        <v>0</v>
      </c>
      <c r="BV108" s="66">
        <f t="shared" si="101"/>
        <v>0</v>
      </c>
      <c r="BW108" s="66">
        <f t="shared" si="101"/>
        <v>0</v>
      </c>
      <c r="BX108" s="66">
        <f t="shared" si="101"/>
        <v>0</v>
      </c>
      <c r="BY108" s="66">
        <f t="shared" si="101"/>
        <v>0</v>
      </c>
      <c r="BZ108" s="66">
        <f t="shared" si="101"/>
        <v>0</v>
      </c>
      <c r="CA108" s="66"/>
      <c r="CB108" s="66">
        <f>AD108-BC108</f>
        <v>0</v>
      </c>
      <c r="CC108" s="22">
        <f t="shared" si="58"/>
        <v>1</v>
      </c>
      <c r="CD108" s="66">
        <f t="shared" si="102"/>
        <v>60000000</v>
      </c>
      <c r="CE108" s="66">
        <f>+'[1]OCTUBRE 2019'!$H$1170</f>
        <v>15000000</v>
      </c>
      <c r="CF108" s="66"/>
      <c r="CG108" s="66"/>
      <c r="CH108" s="66"/>
      <c r="CI108" s="66"/>
      <c r="CJ108" s="66"/>
      <c r="CK108" s="66"/>
      <c r="CL108" s="66"/>
      <c r="CM108" s="66"/>
      <c r="CN108" s="66"/>
      <c r="CO108" s="66"/>
      <c r="CP108" s="66"/>
      <c r="CQ108" s="66"/>
      <c r="CR108" s="66"/>
      <c r="CS108" s="66"/>
      <c r="CT108" s="66"/>
      <c r="CU108" s="66"/>
      <c r="CV108" s="66"/>
      <c r="CW108" s="66"/>
      <c r="CX108" s="66">
        <f>+'[2]SEPTIEMBRE 2019'!$H$1022-'[2]SEPTIEMBRE 2019'!$H$1047</f>
        <v>45000000</v>
      </c>
      <c r="CY108" s="66"/>
      <c r="CZ108" s="66"/>
      <c r="DA108" s="66"/>
      <c r="DB108" s="22">
        <f t="shared" si="59"/>
        <v>0</v>
      </c>
      <c r="DC108" s="66">
        <f t="shared" si="76"/>
        <v>0</v>
      </c>
      <c r="DD108" s="66">
        <f t="shared" si="103"/>
        <v>0</v>
      </c>
      <c r="DE108" s="66">
        <f t="shared" si="103"/>
        <v>0</v>
      </c>
      <c r="DF108" s="66"/>
      <c r="DG108" s="66">
        <f t="shared" si="104"/>
        <v>0</v>
      </c>
      <c r="DH108" s="66">
        <f t="shared" si="104"/>
        <v>0</v>
      </c>
      <c r="DI108" s="66">
        <f t="shared" si="104"/>
        <v>0</v>
      </c>
      <c r="DJ108" s="66">
        <f t="shared" si="104"/>
        <v>0</v>
      </c>
      <c r="DK108" s="66">
        <f t="shared" si="104"/>
        <v>0</v>
      </c>
      <c r="DL108" s="66">
        <f t="shared" si="104"/>
        <v>0</v>
      </c>
      <c r="DM108" s="66">
        <f t="shared" si="104"/>
        <v>0</v>
      </c>
      <c r="DN108" s="66">
        <f t="shared" si="104"/>
        <v>0</v>
      </c>
      <c r="DO108" s="66">
        <f t="shared" si="104"/>
        <v>0</v>
      </c>
      <c r="DP108" s="66">
        <f t="shared" si="104"/>
        <v>0</v>
      </c>
      <c r="DQ108" s="66">
        <f t="shared" si="104"/>
        <v>0</v>
      </c>
      <c r="DR108" s="66">
        <f t="shared" si="104"/>
        <v>0</v>
      </c>
      <c r="DS108" s="66">
        <f t="shared" si="104"/>
        <v>0</v>
      </c>
      <c r="DT108" s="66">
        <f t="shared" si="104"/>
        <v>0</v>
      </c>
      <c r="DU108" s="66">
        <f t="shared" si="104"/>
        <v>0</v>
      </c>
      <c r="DV108" s="66">
        <f t="shared" si="104"/>
        <v>0</v>
      </c>
      <c r="DW108" s="66">
        <f t="shared" si="105"/>
        <v>0</v>
      </c>
      <c r="DX108" s="66">
        <f t="shared" si="105"/>
        <v>0</v>
      </c>
      <c r="DY108" s="66"/>
      <c r="DZ108" s="66">
        <f t="shared" si="106"/>
        <v>0</v>
      </c>
      <c r="EC108" s="173">
        <v>60000000</v>
      </c>
      <c r="ED108" s="173">
        <v>60000000</v>
      </c>
      <c r="EE108" s="174">
        <f t="shared" si="94"/>
        <v>1</v>
      </c>
    </row>
    <row r="109" spans="1:135" s="59" customFormat="1" ht="16.2" hidden="1" customHeight="1" x14ac:dyDescent="0.3">
      <c r="A109" s="224"/>
      <c r="B109" s="98"/>
      <c r="C109" s="70" t="s">
        <v>111</v>
      </c>
      <c r="D109" s="69" t="s">
        <v>110</v>
      </c>
      <c r="E109" s="124">
        <v>301</v>
      </c>
      <c r="F109" s="67" t="s">
        <v>21</v>
      </c>
      <c r="G109" s="66">
        <f t="shared" si="95"/>
        <v>0</v>
      </c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  <c r="AA109" s="66">
        <f>15000000-15000000</f>
        <v>0</v>
      </c>
      <c r="AB109" s="66"/>
      <c r="AC109" s="66"/>
      <c r="AD109" s="66"/>
      <c r="AE109" s="22" t="e">
        <f t="shared" si="81"/>
        <v>#DIV/0!</v>
      </c>
      <c r="AF109" s="66">
        <f t="shared" si="96"/>
        <v>0</v>
      </c>
      <c r="AG109" s="66"/>
      <c r="AH109" s="66"/>
      <c r="AI109" s="66"/>
      <c r="AJ109" s="66"/>
      <c r="AK109" s="66"/>
      <c r="AL109" s="66"/>
      <c r="AM109" s="66"/>
      <c r="AN109" s="66"/>
      <c r="AO109" s="66"/>
      <c r="AP109" s="66"/>
      <c r="AQ109" s="66"/>
      <c r="AR109" s="66"/>
      <c r="AS109" s="66"/>
      <c r="AT109" s="66"/>
      <c r="AU109" s="66"/>
      <c r="AV109" s="66"/>
      <c r="AW109" s="66"/>
      <c r="AX109" s="66"/>
      <c r="AY109" s="66"/>
      <c r="AZ109" s="66"/>
      <c r="BA109" s="66"/>
      <c r="BB109" s="66"/>
      <c r="BC109" s="66"/>
      <c r="BD109" s="22" t="e">
        <f t="shared" si="57"/>
        <v>#DIV/0!</v>
      </c>
      <c r="BE109" s="66">
        <f t="shared" si="97"/>
        <v>0</v>
      </c>
      <c r="BF109" s="66"/>
      <c r="BG109" s="66"/>
      <c r="BH109" s="66"/>
      <c r="BI109" s="66">
        <f t="shared" si="99"/>
        <v>0</v>
      </c>
      <c r="BJ109" s="66"/>
      <c r="BK109" s="66"/>
      <c r="BL109" s="66"/>
      <c r="BM109" s="66"/>
      <c r="BN109" s="66"/>
      <c r="BO109" s="66"/>
      <c r="BP109" s="66"/>
      <c r="BQ109" s="66"/>
      <c r="BR109" s="66"/>
      <c r="BS109" s="66"/>
      <c r="BT109" s="66"/>
      <c r="BU109" s="66"/>
      <c r="BV109" s="66"/>
      <c r="BW109" s="66"/>
      <c r="BX109" s="66"/>
      <c r="BY109" s="66">
        <f t="shared" si="101"/>
        <v>0</v>
      </c>
      <c r="BZ109" s="66"/>
      <c r="CA109" s="66"/>
      <c r="CB109" s="66"/>
      <c r="CC109" s="22"/>
      <c r="CD109" s="66">
        <f t="shared" si="102"/>
        <v>0</v>
      </c>
      <c r="CE109" s="66"/>
      <c r="CF109" s="66"/>
      <c r="CG109" s="66"/>
      <c r="CH109" s="66"/>
      <c r="CI109" s="66"/>
      <c r="CJ109" s="66"/>
      <c r="CK109" s="66"/>
      <c r="CL109" s="66"/>
      <c r="CM109" s="66"/>
      <c r="CN109" s="66"/>
      <c r="CO109" s="66"/>
      <c r="CP109" s="66"/>
      <c r="CQ109" s="66"/>
      <c r="CR109" s="66"/>
      <c r="CS109" s="66"/>
      <c r="CT109" s="66"/>
      <c r="CU109" s="66"/>
      <c r="CV109" s="66"/>
      <c r="CW109" s="66"/>
      <c r="CX109" s="66"/>
      <c r="CY109" s="66"/>
      <c r="CZ109" s="66"/>
      <c r="DA109" s="66"/>
      <c r="DB109" s="22">
        <f t="shared" si="59"/>
        <v>1</v>
      </c>
      <c r="DC109" s="66">
        <f t="shared" si="76"/>
        <v>0</v>
      </c>
      <c r="DD109" s="66">
        <f t="shared" si="103"/>
        <v>0</v>
      </c>
      <c r="DE109" s="66">
        <f t="shared" si="103"/>
        <v>0</v>
      </c>
      <c r="DF109" s="66"/>
      <c r="DG109" s="66">
        <f t="shared" si="104"/>
        <v>0</v>
      </c>
      <c r="DH109" s="66">
        <f t="shared" si="104"/>
        <v>0</v>
      </c>
      <c r="DI109" s="66">
        <f t="shared" si="104"/>
        <v>0</v>
      </c>
      <c r="DJ109" s="66">
        <f t="shared" si="104"/>
        <v>0</v>
      </c>
      <c r="DK109" s="66">
        <f t="shared" si="104"/>
        <v>0</v>
      </c>
      <c r="DL109" s="66">
        <f t="shared" si="104"/>
        <v>0</v>
      </c>
      <c r="DM109" s="66">
        <f t="shared" si="104"/>
        <v>0</v>
      </c>
      <c r="DN109" s="66">
        <f t="shared" si="104"/>
        <v>0</v>
      </c>
      <c r="DO109" s="66">
        <f t="shared" si="104"/>
        <v>0</v>
      </c>
      <c r="DP109" s="66">
        <f t="shared" si="104"/>
        <v>0</v>
      </c>
      <c r="DQ109" s="66">
        <f t="shared" si="104"/>
        <v>0</v>
      </c>
      <c r="DR109" s="66">
        <f t="shared" si="104"/>
        <v>0</v>
      </c>
      <c r="DS109" s="66">
        <f t="shared" si="104"/>
        <v>0</v>
      </c>
      <c r="DT109" s="66">
        <f t="shared" si="104"/>
        <v>0</v>
      </c>
      <c r="DU109" s="66">
        <f t="shared" si="104"/>
        <v>0</v>
      </c>
      <c r="DV109" s="66">
        <f t="shared" si="104"/>
        <v>0</v>
      </c>
      <c r="DW109" s="66">
        <f t="shared" si="105"/>
        <v>0</v>
      </c>
      <c r="DX109" s="66">
        <f t="shared" si="105"/>
        <v>0</v>
      </c>
      <c r="DY109" s="66"/>
      <c r="DZ109" s="66">
        <f t="shared" si="106"/>
        <v>0</v>
      </c>
      <c r="EC109" s="173">
        <v>0</v>
      </c>
      <c r="ED109" s="173">
        <v>0</v>
      </c>
      <c r="EE109" s="174">
        <f t="shared" si="94"/>
        <v>0</v>
      </c>
    </row>
    <row r="110" spans="1:135" ht="16.2" hidden="1" customHeight="1" x14ac:dyDescent="0.3">
      <c r="A110" s="224"/>
      <c r="B110" s="91" t="s">
        <v>109</v>
      </c>
      <c r="C110" s="96" t="s">
        <v>108</v>
      </c>
      <c r="D110" s="69" t="s">
        <v>107</v>
      </c>
      <c r="E110" s="124">
        <v>301</v>
      </c>
      <c r="F110" s="67" t="s">
        <v>103</v>
      </c>
      <c r="G110" s="66">
        <f t="shared" si="95"/>
        <v>480654632</v>
      </c>
      <c r="H110" s="66">
        <f>15137846+35000000</f>
        <v>50137846</v>
      </c>
      <c r="I110" s="66">
        <f>180000000</f>
        <v>180000000</v>
      </c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>
        <f>14788955+60000000</f>
        <v>74788955</v>
      </c>
      <c r="AA110" s="66">
        <v>167968376</v>
      </c>
      <c r="AB110" s="66"/>
      <c r="AC110" s="66"/>
      <c r="AD110" s="66">
        <f>6759455+1000000</f>
        <v>7759455</v>
      </c>
      <c r="AE110" s="22">
        <f t="shared" si="81"/>
        <v>0.99791950408167496</v>
      </c>
      <c r="AF110" s="66">
        <f t="shared" si="96"/>
        <v>479654632</v>
      </c>
      <c r="AG110" s="66">
        <f>+'[11]JULIO 2019'!$J$776</f>
        <v>50137846</v>
      </c>
      <c r="AH110" s="66">
        <f>+'[10]ABRIL 2019'!$K$412</f>
        <v>180000000</v>
      </c>
      <c r="AI110" s="66"/>
      <c r="AJ110" s="66"/>
      <c r="AK110" s="66"/>
      <c r="AL110" s="66"/>
      <c r="AM110" s="66"/>
      <c r="AN110" s="66"/>
      <c r="AO110" s="66"/>
      <c r="AP110" s="66"/>
      <c r="AQ110" s="66"/>
      <c r="AR110" s="66"/>
      <c r="AS110" s="66"/>
      <c r="AT110" s="66"/>
      <c r="AU110" s="66"/>
      <c r="AV110" s="66"/>
      <c r="AW110" s="66"/>
      <c r="AX110" s="66"/>
      <c r="AY110" s="66">
        <f>+'[2]SEPTIEMBRE 2019'!$AB$1065</f>
        <v>73788955</v>
      </c>
      <c r="AZ110" s="66">
        <f>+'[10]ABRIL 2019'!$AB$412</f>
        <v>167968376</v>
      </c>
      <c r="BA110" s="66"/>
      <c r="BB110" s="66"/>
      <c r="BC110" s="66">
        <f>+'[1]OCTUBRE 2019'!$G$1210+'[1]OCTUBRE 2019'!$G$1263+'[1]OCTUBRE 2019'!$G$1272+'[1]OCTUBRE 2019'!$G$1273+'[1]OCTUBRE 2019'!$G$1296+'[1]OCTUBRE 2019'!$G$1297</f>
        <v>7759455</v>
      </c>
      <c r="BD110" s="22">
        <f t="shared" si="57"/>
        <v>2.0804959183250427E-3</v>
      </c>
      <c r="BE110" s="66">
        <f t="shared" si="97"/>
        <v>1000000</v>
      </c>
      <c r="BF110" s="66">
        <f t="shared" ref="BF110:BH117" si="107">H110-AG110</f>
        <v>0</v>
      </c>
      <c r="BG110" s="66">
        <f t="shared" si="107"/>
        <v>0</v>
      </c>
      <c r="BH110" s="66">
        <f t="shared" si="107"/>
        <v>0</v>
      </c>
      <c r="BI110" s="66">
        <f t="shared" si="99"/>
        <v>0</v>
      </c>
      <c r="BJ110" s="66">
        <f t="shared" ref="BJ110:BX121" si="108">L110-AK110</f>
        <v>0</v>
      </c>
      <c r="BK110" s="66">
        <f t="shared" si="108"/>
        <v>0</v>
      </c>
      <c r="BL110" s="66">
        <f t="shared" si="108"/>
        <v>0</v>
      </c>
      <c r="BM110" s="66">
        <f t="shared" si="108"/>
        <v>0</v>
      </c>
      <c r="BN110" s="66">
        <f t="shared" si="108"/>
        <v>0</v>
      </c>
      <c r="BO110" s="66">
        <f t="shared" si="108"/>
        <v>0</v>
      </c>
      <c r="BP110" s="66">
        <f t="shared" si="108"/>
        <v>0</v>
      </c>
      <c r="BQ110" s="66">
        <f t="shared" si="108"/>
        <v>0</v>
      </c>
      <c r="BR110" s="66">
        <f t="shared" si="108"/>
        <v>0</v>
      </c>
      <c r="BS110" s="66">
        <f t="shared" si="108"/>
        <v>0</v>
      </c>
      <c r="BT110" s="66">
        <f t="shared" si="108"/>
        <v>0</v>
      </c>
      <c r="BU110" s="66">
        <f t="shared" si="108"/>
        <v>0</v>
      </c>
      <c r="BV110" s="66">
        <f t="shared" si="108"/>
        <v>0</v>
      </c>
      <c r="BW110" s="66">
        <f t="shared" si="108"/>
        <v>0</v>
      </c>
      <c r="BX110" s="66">
        <f t="shared" si="108"/>
        <v>1000000</v>
      </c>
      <c r="BY110" s="66">
        <f t="shared" si="101"/>
        <v>0</v>
      </c>
      <c r="BZ110" s="66">
        <f t="shared" si="101"/>
        <v>0</v>
      </c>
      <c r="CA110" s="66"/>
      <c r="CB110" s="66">
        <f t="shared" ref="CB110:CB121" si="109">AD110-BC110</f>
        <v>0</v>
      </c>
      <c r="CC110" s="22">
        <f t="shared" ref="CC110:CC139" si="110">+CD110/G110</f>
        <v>0.80738917543605404</v>
      </c>
      <c r="CD110" s="95">
        <f t="shared" si="102"/>
        <v>388075347</v>
      </c>
      <c r="CE110" s="66">
        <f>+'[2]SEPTIEMBRE 2019'!$H$1134+'[2]SEPTIEMBRE 2019'!$H$1142+'[2]SEPTIEMBRE 2019'!$H$1157+'[2]SEPTIEMBRE 2019'!$H$1158</f>
        <v>49805474</v>
      </c>
      <c r="CF110" s="66">
        <f>+'[1]OCTUBRE 2019'!$K$1193+'[1]OCTUBRE 2019'!$H$1211+'[1]OCTUBRE 2019'!$H$1213+'[1]OCTUBRE 2019'!$H$1219+'[1]OCTUBRE 2019'!$H$1249</f>
        <v>170103390</v>
      </c>
      <c r="CG110" s="66"/>
      <c r="CH110" s="66"/>
      <c r="CI110" s="66"/>
      <c r="CJ110" s="66"/>
      <c r="CK110" s="66"/>
      <c r="CL110" s="66"/>
      <c r="CM110" s="66"/>
      <c r="CN110" s="66"/>
      <c r="CO110" s="66"/>
      <c r="CP110" s="66"/>
      <c r="CQ110" s="66"/>
      <c r="CR110" s="66"/>
      <c r="CS110" s="66"/>
      <c r="CT110" s="66"/>
      <c r="CU110" s="66"/>
      <c r="CV110" s="66"/>
      <c r="CW110" s="66">
        <f>+'[1]OCTUBRE 2019'!$H$1291</f>
        <v>10941940</v>
      </c>
      <c r="CX110" s="66">
        <f>+'[1]OCTUBRE 2019'!$H$1216+'[1]OCTUBRE 2019'!$H$1218+'[1]OCTUBRE 2019'!$H$1221+'[1]OCTUBRE 2019'!$H$1224+'[1]OCTUBRE 2019'!$H$1226+'[1]OCTUBRE 2019'!$H$1230+'[1]OCTUBRE 2019'!$G$1241+'[1]OCTUBRE 2019'!$H$1257+'[1]OCTUBRE 2019'!$H$1271+'[1]OCTUBRE 2019'!$H$1284</f>
        <v>155575543</v>
      </c>
      <c r="CY110" s="66"/>
      <c r="CZ110" s="66"/>
      <c r="DA110" s="66">
        <f>+'[1]OCTUBRE 2019'!$H$1263</f>
        <v>1649000</v>
      </c>
      <c r="DB110" s="22">
        <f t="shared" si="59"/>
        <v>0.19261082456394596</v>
      </c>
      <c r="DC110" s="66">
        <f t="shared" si="76"/>
        <v>92579285</v>
      </c>
      <c r="DD110" s="66">
        <f t="shared" si="103"/>
        <v>332372</v>
      </c>
      <c r="DE110" s="66">
        <f t="shared" si="103"/>
        <v>9896610</v>
      </c>
      <c r="DF110" s="66">
        <f>J110-CG110</f>
        <v>0</v>
      </c>
      <c r="DG110" s="66">
        <f t="shared" si="104"/>
        <v>0</v>
      </c>
      <c r="DH110" s="66">
        <f t="shared" si="104"/>
        <v>0</v>
      </c>
      <c r="DI110" s="66">
        <f t="shared" si="104"/>
        <v>0</v>
      </c>
      <c r="DJ110" s="66">
        <f t="shared" si="104"/>
        <v>0</v>
      </c>
      <c r="DK110" s="66">
        <f t="shared" si="104"/>
        <v>0</v>
      </c>
      <c r="DL110" s="66">
        <f t="shared" si="104"/>
        <v>0</v>
      </c>
      <c r="DM110" s="66">
        <f t="shared" si="104"/>
        <v>0</v>
      </c>
      <c r="DN110" s="66">
        <f t="shared" si="104"/>
        <v>0</v>
      </c>
      <c r="DO110" s="66">
        <f t="shared" si="104"/>
        <v>0</v>
      </c>
      <c r="DP110" s="66">
        <f t="shared" si="104"/>
        <v>0</v>
      </c>
      <c r="DQ110" s="66">
        <f t="shared" si="104"/>
        <v>0</v>
      </c>
      <c r="DR110" s="66">
        <f t="shared" si="104"/>
        <v>0</v>
      </c>
      <c r="DS110" s="66">
        <f t="shared" si="104"/>
        <v>0</v>
      </c>
      <c r="DT110" s="66">
        <f t="shared" si="104"/>
        <v>0</v>
      </c>
      <c r="DU110" s="66">
        <f t="shared" si="104"/>
        <v>0</v>
      </c>
      <c r="DV110" s="66">
        <f t="shared" si="104"/>
        <v>63847015</v>
      </c>
      <c r="DW110" s="66">
        <f t="shared" si="105"/>
        <v>12392833</v>
      </c>
      <c r="DX110" s="66">
        <f t="shared" si="105"/>
        <v>0</v>
      </c>
      <c r="DY110" s="66"/>
      <c r="DZ110" s="66">
        <f t="shared" si="106"/>
        <v>6110455</v>
      </c>
      <c r="EC110" s="173">
        <v>480654632</v>
      </c>
      <c r="ED110" s="173">
        <v>388075347</v>
      </c>
      <c r="EE110" s="174">
        <f t="shared" si="94"/>
        <v>0.80738917543605404</v>
      </c>
    </row>
    <row r="111" spans="1:135" ht="19.2" hidden="1" customHeight="1" x14ac:dyDescent="0.3">
      <c r="A111" s="224"/>
      <c r="B111" s="94" t="s">
        <v>106</v>
      </c>
      <c r="C111" s="70" t="s">
        <v>105</v>
      </c>
      <c r="D111" s="71" t="s">
        <v>104</v>
      </c>
      <c r="E111" s="124">
        <v>301</v>
      </c>
      <c r="F111" s="67" t="s">
        <v>103</v>
      </c>
      <c r="G111" s="66">
        <f t="shared" si="95"/>
        <v>393609249</v>
      </c>
      <c r="H111" s="66"/>
      <c r="I111" s="66"/>
      <c r="J111" s="66"/>
      <c r="K111" s="66"/>
      <c r="L111" s="66"/>
      <c r="M111" s="66">
        <v>208000000</v>
      </c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>
        <v>100000000</v>
      </c>
      <c r="Y111" s="66">
        <v>32712008</v>
      </c>
      <c r="Z111" s="66">
        <f>40000000</f>
        <v>40000000</v>
      </c>
      <c r="AA111" s="66"/>
      <c r="AB111" s="66"/>
      <c r="AC111" s="66"/>
      <c r="AD111" s="66">
        <f>12000000+1000000-102759</f>
        <v>12897241</v>
      </c>
      <c r="AE111" s="22">
        <f t="shared" si="81"/>
        <v>0.99757627646600344</v>
      </c>
      <c r="AF111" s="66">
        <f t="shared" si="96"/>
        <v>392655249</v>
      </c>
      <c r="AG111" s="66"/>
      <c r="AH111" s="66"/>
      <c r="AI111" s="66"/>
      <c r="AJ111" s="66"/>
      <c r="AK111" s="66"/>
      <c r="AL111" s="66">
        <f>+'[11]JULIO 2019'!$N$855</f>
        <v>208000000</v>
      </c>
      <c r="AM111" s="66"/>
      <c r="AN111" s="66"/>
      <c r="AO111" s="66"/>
      <c r="AP111" s="66"/>
      <c r="AQ111" s="66"/>
      <c r="AR111" s="66"/>
      <c r="AS111" s="66"/>
      <c r="AT111" s="66"/>
      <c r="AU111" s="66"/>
      <c r="AV111" s="66"/>
      <c r="AW111" s="66">
        <f>+'[1]OCTUBRE 2019'!$Z$1305</f>
        <v>99046000</v>
      </c>
      <c r="AX111" s="66">
        <f>+'[11]JULIO 2019'!$Z$855</f>
        <v>32712008</v>
      </c>
      <c r="AY111" s="66">
        <f>+'[2]SEPTIEMBRE 2019'!$AB$1171</f>
        <v>40000000</v>
      </c>
      <c r="AZ111" s="66"/>
      <c r="BA111" s="66"/>
      <c r="BB111" s="66"/>
      <c r="BC111" s="66">
        <f>+'[2]SEPTIEMBRE 2019'!$AG$1171</f>
        <v>12897241</v>
      </c>
      <c r="BD111" s="22">
        <f t="shared" si="57"/>
        <v>2.4237235339965579E-3</v>
      </c>
      <c r="BE111" s="66">
        <f t="shared" si="97"/>
        <v>954000</v>
      </c>
      <c r="BF111" s="66">
        <f t="shared" si="107"/>
        <v>0</v>
      </c>
      <c r="BG111" s="66">
        <f t="shared" si="107"/>
        <v>0</v>
      </c>
      <c r="BH111" s="66">
        <f t="shared" si="107"/>
        <v>0</v>
      </c>
      <c r="BI111" s="66">
        <f t="shared" si="99"/>
        <v>0</v>
      </c>
      <c r="BJ111" s="66">
        <f t="shared" si="108"/>
        <v>0</v>
      </c>
      <c r="BK111" s="66">
        <f t="shared" si="108"/>
        <v>0</v>
      </c>
      <c r="BL111" s="66">
        <f t="shared" si="108"/>
        <v>0</v>
      </c>
      <c r="BM111" s="66">
        <f t="shared" si="108"/>
        <v>0</v>
      </c>
      <c r="BN111" s="66">
        <f t="shared" si="108"/>
        <v>0</v>
      </c>
      <c r="BO111" s="66">
        <f t="shared" si="108"/>
        <v>0</v>
      </c>
      <c r="BP111" s="66">
        <f t="shared" si="108"/>
        <v>0</v>
      </c>
      <c r="BQ111" s="66">
        <f t="shared" si="108"/>
        <v>0</v>
      </c>
      <c r="BR111" s="66">
        <f t="shared" si="108"/>
        <v>0</v>
      </c>
      <c r="BS111" s="66">
        <f t="shared" si="108"/>
        <v>0</v>
      </c>
      <c r="BT111" s="66">
        <f t="shared" si="108"/>
        <v>0</v>
      </c>
      <c r="BU111" s="66">
        <f t="shared" si="108"/>
        <v>0</v>
      </c>
      <c r="BV111" s="66">
        <f t="shared" si="108"/>
        <v>954000</v>
      </c>
      <c r="BW111" s="66">
        <f t="shared" si="108"/>
        <v>0</v>
      </c>
      <c r="BX111" s="66">
        <f t="shared" si="108"/>
        <v>0</v>
      </c>
      <c r="BY111" s="66">
        <f t="shared" si="101"/>
        <v>0</v>
      </c>
      <c r="BZ111" s="66">
        <f t="shared" si="101"/>
        <v>0</v>
      </c>
      <c r="CA111" s="66"/>
      <c r="CB111" s="66">
        <f t="shared" si="109"/>
        <v>0</v>
      </c>
      <c r="CC111" s="22">
        <f t="shared" si="110"/>
        <v>0.96863867139463489</v>
      </c>
      <c r="CD111" s="66">
        <f t="shared" si="102"/>
        <v>381265140</v>
      </c>
      <c r="CE111" s="66"/>
      <c r="CF111" s="66"/>
      <c r="CG111" s="66"/>
      <c r="CH111" s="66"/>
      <c r="CI111" s="66"/>
      <c r="CJ111" s="66">
        <f>+'[2]SEPTIEMBRE 2019'!$H$1172+'[2]SEPTIEMBRE 2019'!$O$1233-2</f>
        <v>205876669</v>
      </c>
      <c r="CK111" s="66"/>
      <c r="CL111" s="66"/>
      <c r="CM111" s="66"/>
      <c r="CN111" s="66"/>
      <c r="CO111" s="66"/>
      <c r="CP111" s="66"/>
      <c r="CQ111" s="66"/>
      <c r="CR111" s="66"/>
      <c r="CS111" s="66"/>
      <c r="CT111" s="66"/>
      <c r="CU111" s="66">
        <f>+'[1]OCTUBRE 2019'!$H$1332+'[1]OCTUBRE 2019'!$H$1335+'[1]OCTUBRE 2019'!$H$1340+'[1]OCTUBRE 2019'!$H$1343+'[1]OCTUBRE 2019'!$H$1352+'[1]OCTUBRE 2019'!$H$1355+'[1]OCTUBRE 2019'!$H$1359+'[1]OCTUBRE 2019'!$H$1362+'[1]OCTUBRE 2019'!$Z$1367</f>
        <v>96846000</v>
      </c>
      <c r="CV111" s="66">
        <f>+'[1]OCTUBRE 2019'!$AA$1367-'[1]OCTUBRE 2019'!$I$1367</f>
        <v>27246666</v>
      </c>
      <c r="CW111" s="66">
        <f>+'[1]OCTUBRE 2019'!$H$1392</f>
        <v>40000000</v>
      </c>
      <c r="CX111" s="66"/>
      <c r="CY111" s="66"/>
      <c r="CZ111" s="66"/>
      <c r="DA111" s="66">
        <f>+'[1]OCTUBRE 2019'!$H$1329+'[1]OCTUBRE 2019'!$H$1348+'[1]OCTUBRE 2019'!$H$1365+'[1]OCTUBRE 2019'!$H$1386</f>
        <v>11295805</v>
      </c>
      <c r="DB111" s="22">
        <f t="shared" si="59"/>
        <v>3.1361328605365113E-2</v>
      </c>
      <c r="DC111" s="66">
        <f t="shared" si="76"/>
        <v>12344109</v>
      </c>
      <c r="DD111" s="66">
        <f t="shared" si="103"/>
        <v>0</v>
      </c>
      <c r="DE111" s="66">
        <f t="shared" si="103"/>
        <v>0</v>
      </c>
      <c r="DF111" s="66"/>
      <c r="DG111" s="66">
        <f t="shared" si="104"/>
        <v>0</v>
      </c>
      <c r="DH111" s="66">
        <f t="shared" si="104"/>
        <v>0</v>
      </c>
      <c r="DI111" s="66">
        <f t="shared" si="104"/>
        <v>2123331</v>
      </c>
      <c r="DJ111" s="66">
        <f t="shared" si="104"/>
        <v>0</v>
      </c>
      <c r="DK111" s="66">
        <f t="shared" si="104"/>
        <v>0</v>
      </c>
      <c r="DL111" s="66">
        <f t="shared" si="104"/>
        <v>0</v>
      </c>
      <c r="DM111" s="66">
        <f t="shared" si="104"/>
        <v>0</v>
      </c>
      <c r="DN111" s="66">
        <f t="shared" si="104"/>
        <v>0</v>
      </c>
      <c r="DO111" s="66">
        <f t="shared" si="104"/>
        <v>0</v>
      </c>
      <c r="DP111" s="66">
        <f t="shared" si="104"/>
        <v>0</v>
      </c>
      <c r="DQ111" s="66">
        <f t="shared" si="104"/>
        <v>0</v>
      </c>
      <c r="DR111" s="66">
        <f t="shared" si="104"/>
        <v>0</v>
      </c>
      <c r="DS111" s="66">
        <f t="shared" si="104"/>
        <v>0</v>
      </c>
      <c r="DT111" s="66">
        <f t="shared" si="104"/>
        <v>3154000</v>
      </c>
      <c r="DU111" s="66">
        <f t="shared" si="104"/>
        <v>5465342</v>
      </c>
      <c r="DV111" s="66">
        <f t="shared" si="104"/>
        <v>0</v>
      </c>
      <c r="DW111" s="66">
        <f t="shared" si="105"/>
        <v>0</v>
      </c>
      <c r="DX111" s="66">
        <f t="shared" si="105"/>
        <v>0</v>
      </c>
      <c r="DY111" s="66"/>
      <c r="DZ111" s="66">
        <f t="shared" si="106"/>
        <v>1601436</v>
      </c>
      <c r="EC111" s="173">
        <v>393609249</v>
      </c>
      <c r="ED111" s="173">
        <v>381265140</v>
      </c>
      <c r="EE111" s="174">
        <f t="shared" si="94"/>
        <v>0.96863867139463489</v>
      </c>
    </row>
    <row r="112" spans="1:135" ht="30" hidden="1" customHeight="1" x14ac:dyDescent="0.3">
      <c r="A112" s="224"/>
      <c r="B112" s="219" t="s">
        <v>102</v>
      </c>
      <c r="C112" s="70" t="s">
        <v>101</v>
      </c>
      <c r="D112" s="71" t="s">
        <v>100</v>
      </c>
      <c r="E112" s="124">
        <v>301</v>
      </c>
      <c r="F112" s="67" t="s">
        <v>99</v>
      </c>
      <c r="G112" s="66">
        <f t="shared" si="95"/>
        <v>184833400</v>
      </c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  <c r="AA112" s="66">
        <v>50000000</v>
      </c>
      <c r="AB112" s="66"/>
      <c r="AC112" s="66"/>
      <c r="AD112" s="66">
        <f>72963935+8272669+25096796+15000000+1500000+12000000</f>
        <v>134833400</v>
      </c>
      <c r="AE112" s="22">
        <f t="shared" si="81"/>
        <v>0.69578819087892119</v>
      </c>
      <c r="AF112" s="66">
        <f t="shared" si="96"/>
        <v>128604897</v>
      </c>
      <c r="AG112" s="66"/>
      <c r="AH112" s="66"/>
      <c r="AI112" s="66"/>
      <c r="AJ112" s="66"/>
      <c r="AK112" s="66"/>
      <c r="AL112" s="66"/>
      <c r="AM112" s="66"/>
      <c r="AN112" s="66"/>
      <c r="AO112" s="66"/>
      <c r="AP112" s="66"/>
      <c r="AQ112" s="66"/>
      <c r="AR112" s="66"/>
      <c r="AS112" s="66"/>
      <c r="AT112" s="66"/>
      <c r="AU112" s="66"/>
      <c r="AV112" s="66"/>
      <c r="AW112" s="66"/>
      <c r="AX112" s="66"/>
      <c r="AY112" s="66"/>
      <c r="AZ112" s="66">
        <f>+'[6]MAYO 2019'!$AB$617</f>
        <v>49997500</v>
      </c>
      <c r="BA112" s="66"/>
      <c r="BB112" s="66"/>
      <c r="BC112" s="66">
        <f>+'[2]SEPTIEMBRE 2019'!$AG$1265+'[1]OCTUBRE 2019'!$G$1433</f>
        <v>78607397</v>
      </c>
      <c r="BD112" s="22">
        <f t="shared" si="57"/>
        <v>0.30421180912107881</v>
      </c>
      <c r="BE112" s="66">
        <f t="shared" si="97"/>
        <v>56228503</v>
      </c>
      <c r="BF112" s="66">
        <f t="shared" si="107"/>
        <v>0</v>
      </c>
      <c r="BG112" s="66">
        <f t="shared" si="107"/>
        <v>0</v>
      </c>
      <c r="BH112" s="66">
        <f t="shared" si="107"/>
        <v>0</v>
      </c>
      <c r="BI112" s="66">
        <f t="shared" si="99"/>
        <v>0</v>
      </c>
      <c r="BJ112" s="66">
        <f t="shared" si="108"/>
        <v>0</v>
      </c>
      <c r="BK112" s="66">
        <f t="shared" si="108"/>
        <v>0</v>
      </c>
      <c r="BL112" s="66">
        <f t="shared" si="108"/>
        <v>0</v>
      </c>
      <c r="BM112" s="66">
        <f t="shared" si="108"/>
        <v>0</v>
      </c>
      <c r="BN112" s="66">
        <f t="shared" si="108"/>
        <v>0</v>
      </c>
      <c r="BO112" s="66">
        <f t="shared" si="108"/>
        <v>0</v>
      </c>
      <c r="BP112" s="66">
        <f t="shared" si="108"/>
        <v>0</v>
      </c>
      <c r="BQ112" s="66">
        <f t="shared" si="108"/>
        <v>0</v>
      </c>
      <c r="BR112" s="66">
        <f t="shared" si="108"/>
        <v>0</v>
      </c>
      <c r="BS112" s="66">
        <f t="shared" si="108"/>
        <v>0</v>
      </c>
      <c r="BT112" s="66">
        <f t="shared" si="108"/>
        <v>0</v>
      </c>
      <c r="BU112" s="66">
        <f t="shared" si="108"/>
        <v>0</v>
      </c>
      <c r="BV112" s="66">
        <f t="shared" si="108"/>
        <v>0</v>
      </c>
      <c r="BW112" s="66">
        <f t="shared" si="108"/>
        <v>0</v>
      </c>
      <c r="BX112" s="66">
        <f t="shared" si="108"/>
        <v>0</v>
      </c>
      <c r="BY112" s="66">
        <f t="shared" si="101"/>
        <v>2500</v>
      </c>
      <c r="BZ112" s="66">
        <f t="shared" si="101"/>
        <v>0</v>
      </c>
      <c r="CA112" s="66"/>
      <c r="CB112" s="66">
        <f t="shared" si="109"/>
        <v>56226003</v>
      </c>
      <c r="CC112" s="22">
        <f t="shared" si="110"/>
        <v>0.59699978467095238</v>
      </c>
      <c r="CD112" s="66">
        <f t="shared" si="102"/>
        <v>110345500</v>
      </c>
      <c r="CE112" s="66"/>
      <c r="CF112" s="66"/>
      <c r="CG112" s="66"/>
      <c r="CH112" s="66"/>
      <c r="CI112" s="66"/>
      <c r="CJ112" s="66"/>
      <c r="CK112" s="66"/>
      <c r="CL112" s="66"/>
      <c r="CM112" s="66"/>
      <c r="CN112" s="66"/>
      <c r="CO112" s="66"/>
      <c r="CP112" s="66"/>
      <c r="CQ112" s="66"/>
      <c r="CR112" s="66"/>
      <c r="CS112" s="66"/>
      <c r="CT112" s="66"/>
      <c r="CU112" s="66"/>
      <c r="CV112" s="66"/>
      <c r="CW112" s="66"/>
      <c r="CX112" s="66">
        <f>+'[2]SEPTIEMBRE 2019'!$H$1274+'[2]SEPTIEMBRE 2019'!$H$1279</f>
        <v>41007500</v>
      </c>
      <c r="CY112" s="66"/>
      <c r="CZ112" s="66"/>
      <c r="DA112" s="66">
        <f>+'[2]SEPTIEMBRE 2019'!$H$1266+'[2]SEPTIEMBRE 2019'!$H$1281+'[2]SEPTIEMBRE 2019'!$H$1283+'[2]SEPTIEMBRE 2019'!$H$1286+'[2]SEPTIEMBRE 2019'!$H$1288+'[2]SEPTIEMBRE 2019'!$H$1291+'[2]SEPTIEMBRE 2019'!$H$1294+'[2]SEPTIEMBRE 2019'!$H$1297</f>
        <v>69338000</v>
      </c>
      <c r="DB112" s="22">
        <f t="shared" si="59"/>
        <v>0.40300021532904762</v>
      </c>
      <c r="DC112" s="66">
        <f t="shared" si="76"/>
        <v>74487900</v>
      </c>
      <c r="DD112" s="66">
        <f t="shared" si="103"/>
        <v>0</v>
      </c>
      <c r="DE112" s="66">
        <f t="shared" si="103"/>
        <v>0</v>
      </c>
      <c r="DF112" s="66">
        <f>J112-CG112</f>
        <v>0</v>
      </c>
      <c r="DG112" s="66">
        <f t="shared" si="104"/>
        <v>0</v>
      </c>
      <c r="DH112" s="66">
        <f t="shared" si="104"/>
        <v>0</v>
      </c>
      <c r="DI112" s="66">
        <f t="shared" si="104"/>
        <v>0</v>
      </c>
      <c r="DJ112" s="66">
        <f t="shared" si="104"/>
        <v>0</v>
      </c>
      <c r="DK112" s="66">
        <f t="shared" si="104"/>
        <v>0</v>
      </c>
      <c r="DL112" s="66">
        <f t="shared" si="104"/>
        <v>0</v>
      </c>
      <c r="DM112" s="66">
        <f t="shared" si="104"/>
        <v>0</v>
      </c>
      <c r="DN112" s="66">
        <f t="shared" si="104"/>
        <v>0</v>
      </c>
      <c r="DO112" s="66">
        <f t="shared" si="104"/>
        <v>0</v>
      </c>
      <c r="DP112" s="66">
        <f t="shared" si="104"/>
        <v>0</v>
      </c>
      <c r="DQ112" s="66">
        <f t="shared" si="104"/>
        <v>0</v>
      </c>
      <c r="DR112" s="66">
        <f t="shared" si="104"/>
        <v>0</v>
      </c>
      <c r="DS112" s="66">
        <f t="shared" si="104"/>
        <v>0</v>
      </c>
      <c r="DT112" s="66">
        <f t="shared" si="104"/>
        <v>0</v>
      </c>
      <c r="DU112" s="66">
        <f t="shared" si="104"/>
        <v>0</v>
      </c>
      <c r="DV112" s="66">
        <f t="shared" si="104"/>
        <v>0</v>
      </c>
      <c r="DW112" s="66">
        <f t="shared" si="105"/>
        <v>8992500</v>
      </c>
      <c r="DX112" s="66">
        <f t="shared" si="105"/>
        <v>0</v>
      </c>
      <c r="DY112" s="66"/>
      <c r="DZ112" s="66">
        <f t="shared" si="106"/>
        <v>65495400</v>
      </c>
      <c r="EC112" s="173">
        <v>184833400</v>
      </c>
      <c r="ED112" s="173">
        <v>110345500</v>
      </c>
      <c r="EE112" s="174">
        <f t="shared" si="94"/>
        <v>0.59699978467095238</v>
      </c>
    </row>
    <row r="113" spans="1:135" ht="44.4" hidden="1" customHeight="1" x14ac:dyDescent="0.3">
      <c r="A113" s="224"/>
      <c r="B113" s="220"/>
      <c r="C113" s="70" t="s">
        <v>98</v>
      </c>
      <c r="D113" s="69" t="s">
        <v>97</v>
      </c>
      <c r="E113" s="124">
        <v>301</v>
      </c>
      <c r="F113" s="67" t="s">
        <v>21</v>
      </c>
      <c r="G113" s="66">
        <f t="shared" si="95"/>
        <v>15000000</v>
      </c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>
        <v>15000000</v>
      </c>
      <c r="AB113" s="66"/>
      <c r="AC113" s="66"/>
      <c r="AD113" s="66"/>
      <c r="AE113" s="22">
        <f t="shared" si="81"/>
        <v>1</v>
      </c>
      <c r="AF113" s="66">
        <f t="shared" si="96"/>
        <v>15000000</v>
      </c>
      <c r="AG113" s="66"/>
      <c r="AH113" s="66"/>
      <c r="AI113" s="66"/>
      <c r="AJ113" s="66"/>
      <c r="AK113" s="66"/>
      <c r="AL113" s="66"/>
      <c r="AM113" s="66"/>
      <c r="AN113" s="66"/>
      <c r="AO113" s="66"/>
      <c r="AP113" s="66"/>
      <c r="AQ113" s="66"/>
      <c r="AR113" s="66"/>
      <c r="AS113" s="66"/>
      <c r="AT113" s="66"/>
      <c r="AU113" s="66"/>
      <c r="AV113" s="66"/>
      <c r="AW113" s="66"/>
      <c r="AX113" s="66"/>
      <c r="AY113" s="66"/>
      <c r="AZ113" s="66">
        <f>+'[5]MARZO 2019'!$AB$399</f>
        <v>15000000</v>
      </c>
      <c r="BA113" s="66"/>
      <c r="BB113" s="66"/>
      <c r="BC113" s="66"/>
      <c r="BD113" s="22">
        <f t="shared" si="57"/>
        <v>0</v>
      </c>
      <c r="BE113" s="66">
        <f t="shared" si="97"/>
        <v>0</v>
      </c>
      <c r="BF113" s="66">
        <f t="shared" si="107"/>
        <v>0</v>
      </c>
      <c r="BG113" s="66">
        <f t="shared" si="107"/>
        <v>0</v>
      </c>
      <c r="BH113" s="66">
        <f t="shared" si="107"/>
        <v>0</v>
      </c>
      <c r="BI113" s="66">
        <f t="shared" si="99"/>
        <v>0</v>
      </c>
      <c r="BJ113" s="66">
        <f t="shared" si="108"/>
        <v>0</v>
      </c>
      <c r="BK113" s="66">
        <f t="shared" si="108"/>
        <v>0</v>
      </c>
      <c r="BL113" s="66">
        <f t="shared" si="108"/>
        <v>0</v>
      </c>
      <c r="BM113" s="66">
        <f t="shared" si="108"/>
        <v>0</v>
      </c>
      <c r="BN113" s="66">
        <f t="shared" si="108"/>
        <v>0</v>
      </c>
      <c r="BO113" s="66">
        <f t="shared" si="108"/>
        <v>0</v>
      </c>
      <c r="BP113" s="66">
        <f t="shared" si="108"/>
        <v>0</v>
      </c>
      <c r="BQ113" s="66">
        <f t="shared" si="108"/>
        <v>0</v>
      </c>
      <c r="BR113" s="66">
        <f t="shared" si="108"/>
        <v>0</v>
      </c>
      <c r="BS113" s="66">
        <f t="shared" si="108"/>
        <v>0</v>
      </c>
      <c r="BT113" s="66">
        <f t="shared" si="108"/>
        <v>0</v>
      </c>
      <c r="BU113" s="66">
        <f t="shared" si="108"/>
        <v>0</v>
      </c>
      <c r="BV113" s="66">
        <f t="shared" si="108"/>
        <v>0</v>
      </c>
      <c r="BW113" s="66">
        <f t="shared" si="108"/>
        <v>0</v>
      </c>
      <c r="BX113" s="66">
        <f t="shared" si="108"/>
        <v>0</v>
      </c>
      <c r="BY113" s="66">
        <f t="shared" si="101"/>
        <v>0</v>
      </c>
      <c r="BZ113" s="66">
        <f t="shared" si="101"/>
        <v>0</v>
      </c>
      <c r="CA113" s="66"/>
      <c r="CB113" s="66">
        <f t="shared" si="109"/>
        <v>0</v>
      </c>
      <c r="CC113" s="22">
        <f t="shared" si="110"/>
        <v>0.89777773333333333</v>
      </c>
      <c r="CD113" s="66">
        <f t="shared" si="102"/>
        <v>13466666</v>
      </c>
      <c r="CE113" s="66"/>
      <c r="CF113" s="66"/>
      <c r="CG113" s="66"/>
      <c r="CH113" s="66"/>
      <c r="CI113" s="66"/>
      <c r="CJ113" s="66"/>
      <c r="CK113" s="66"/>
      <c r="CL113" s="66"/>
      <c r="CM113" s="66"/>
      <c r="CN113" s="66"/>
      <c r="CO113" s="66"/>
      <c r="CP113" s="66"/>
      <c r="CQ113" s="66"/>
      <c r="CR113" s="66"/>
      <c r="CS113" s="66"/>
      <c r="CT113" s="66"/>
      <c r="CU113" s="66"/>
      <c r="CV113" s="66"/>
      <c r="CW113" s="66"/>
      <c r="CX113" s="66">
        <f>+'[7]AGOSTO 2019'!$H$1069</f>
        <v>13466666</v>
      </c>
      <c r="CY113" s="66"/>
      <c r="CZ113" s="66"/>
      <c r="DA113" s="66"/>
      <c r="DB113" s="22">
        <f t="shared" si="59"/>
        <v>0.10222226666666667</v>
      </c>
      <c r="DC113" s="66">
        <f t="shared" si="76"/>
        <v>1533334</v>
      </c>
      <c r="DD113" s="66">
        <f t="shared" si="103"/>
        <v>0</v>
      </c>
      <c r="DE113" s="66">
        <f t="shared" si="103"/>
        <v>0</v>
      </c>
      <c r="DF113" s="66"/>
      <c r="DG113" s="66">
        <f t="shared" si="104"/>
        <v>0</v>
      </c>
      <c r="DH113" s="66">
        <f t="shared" si="104"/>
        <v>0</v>
      </c>
      <c r="DI113" s="66">
        <f t="shared" si="104"/>
        <v>0</v>
      </c>
      <c r="DJ113" s="66">
        <f t="shared" si="104"/>
        <v>0</v>
      </c>
      <c r="DK113" s="66">
        <f t="shared" si="104"/>
        <v>0</v>
      </c>
      <c r="DL113" s="66">
        <f t="shared" si="104"/>
        <v>0</v>
      </c>
      <c r="DM113" s="66">
        <f t="shared" si="104"/>
        <v>0</v>
      </c>
      <c r="DN113" s="66">
        <f t="shared" si="104"/>
        <v>0</v>
      </c>
      <c r="DO113" s="66">
        <f t="shared" si="104"/>
        <v>0</v>
      </c>
      <c r="DP113" s="66">
        <f t="shared" si="104"/>
        <v>0</v>
      </c>
      <c r="DQ113" s="66">
        <f t="shared" si="104"/>
        <v>0</v>
      </c>
      <c r="DR113" s="66">
        <f t="shared" si="104"/>
        <v>0</v>
      </c>
      <c r="DS113" s="66">
        <f t="shared" si="104"/>
        <v>0</v>
      </c>
      <c r="DT113" s="66">
        <f t="shared" si="104"/>
        <v>0</v>
      </c>
      <c r="DU113" s="66">
        <f t="shared" si="104"/>
        <v>0</v>
      </c>
      <c r="DV113" s="66">
        <f t="shared" si="104"/>
        <v>0</v>
      </c>
      <c r="DW113" s="66">
        <f t="shared" si="105"/>
        <v>1533334</v>
      </c>
      <c r="DX113" s="66">
        <f t="shared" si="105"/>
        <v>0</v>
      </c>
      <c r="DY113" s="66"/>
      <c r="DZ113" s="66">
        <f t="shared" si="106"/>
        <v>0</v>
      </c>
      <c r="EC113" s="173">
        <v>15000000</v>
      </c>
      <c r="ED113" s="173">
        <v>13466666</v>
      </c>
      <c r="EE113" s="174">
        <f t="shared" si="94"/>
        <v>0.89777773333333333</v>
      </c>
    </row>
    <row r="114" spans="1:135" ht="41.4" hidden="1" customHeight="1" x14ac:dyDescent="0.3">
      <c r="A114" s="224"/>
      <c r="B114" s="125"/>
      <c r="C114" s="70" t="s">
        <v>96</v>
      </c>
      <c r="D114" s="69" t="s">
        <v>95</v>
      </c>
      <c r="E114" s="124">
        <v>301</v>
      </c>
      <c r="F114" s="67" t="s">
        <v>21</v>
      </c>
      <c r="G114" s="66">
        <f t="shared" si="95"/>
        <v>2313284</v>
      </c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  <c r="AA114" s="66">
        <v>2313284</v>
      </c>
      <c r="AB114" s="66"/>
      <c r="AC114" s="66"/>
      <c r="AD114" s="66"/>
      <c r="AE114" s="22">
        <f t="shared" si="81"/>
        <v>1</v>
      </c>
      <c r="AF114" s="66">
        <f t="shared" si="96"/>
        <v>2313284</v>
      </c>
      <c r="AG114" s="66"/>
      <c r="AH114" s="66"/>
      <c r="AI114" s="66"/>
      <c r="AJ114" s="66"/>
      <c r="AK114" s="66"/>
      <c r="AL114" s="66"/>
      <c r="AM114" s="66"/>
      <c r="AN114" s="66"/>
      <c r="AO114" s="66"/>
      <c r="AP114" s="66"/>
      <c r="AQ114" s="66"/>
      <c r="AR114" s="66"/>
      <c r="AS114" s="66"/>
      <c r="AT114" s="66"/>
      <c r="AU114" s="66"/>
      <c r="AV114" s="66"/>
      <c r="AW114" s="66"/>
      <c r="AX114" s="66"/>
      <c r="AY114" s="66"/>
      <c r="AZ114" s="66">
        <f>+'[5]MARZO 2019'!$AB$405</f>
        <v>2313284</v>
      </c>
      <c r="BA114" s="66"/>
      <c r="BB114" s="66"/>
      <c r="BC114" s="66"/>
      <c r="BD114" s="22">
        <f t="shared" si="57"/>
        <v>0</v>
      </c>
      <c r="BE114" s="66">
        <f t="shared" si="97"/>
        <v>0</v>
      </c>
      <c r="BF114" s="66">
        <f t="shared" si="107"/>
        <v>0</v>
      </c>
      <c r="BG114" s="66">
        <f t="shared" si="107"/>
        <v>0</v>
      </c>
      <c r="BH114" s="66">
        <f t="shared" si="107"/>
        <v>0</v>
      </c>
      <c r="BI114" s="66">
        <f t="shared" si="99"/>
        <v>0</v>
      </c>
      <c r="BJ114" s="66">
        <f t="shared" si="108"/>
        <v>0</v>
      </c>
      <c r="BK114" s="66">
        <f t="shared" si="108"/>
        <v>0</v>
      </c>
      <c r="BL114" s="66">
        <f t="shared" si="108"/>
        <v>0</v>
      </c>
      <c r="BM114" s="66">
        <f t="shared" si="108"/>
        <v>0</v>
      </c>
      <c r="BN114" s="66">
        <f t="shared" si="108"/>
        <v>0</v>
      </c>
      <c r="BO114" s="66">
        <f t="shared" si="108"/>
        <v>0</v>
      </c>
      <c r="BP114" s="66">
        <f t="shared" si="108"/>
        <v>0</v>
      </c>
      <c r="BQ114" s="66">
        <f t="shared" si="108"/>
        <v>0</v>
      </c>
      <c r="BR114" s="66">
        <f t="shared" si="108"/>
        <v>0</v>
      </c>
      <c r="BS114" s="66">
        <f t="shared" si="108"/>
        <v>0</v>
      </c>
      <c r="BT114" s="66">
        <f t="shared" si="108"/>
        <v>0</v>
      </c>
      <c r="BU114" s="66">
        <f t="shared" si="108"/>
        <v>0</v>
      </c>
      <c r="BV114" s="66">
        <f t="shared" si="108"/>
        <v>0</v>
      </c>
      <c r="BW114" s="66">
        <f t="shared" si="108"/>
        <v>0</v>
      </c>
      <c r="BX114" s="66">
        <f t="shared" si="108"/>
        <v>0</v>
      </c>
      <c r="BY114" s="66">
        <f t="shared" si="101"/>
        <v>0</v>
      </c>
      <c r="BZ114" s="66">
        <f t="shared" si="101"/>
        <v>0</v>
      </c>
      <c r="CA114" s="66"/>
      <c r="CB114" s="66">
        <f t="shared" si="109"/>
        <v>0</v>
      </c>
      <c r="CC114" s="22">
        <f t="shared" si="110"/>
        <v>0</v>
      </c>
      <c r="CD114" s="66">
        <f t="shared" si="102"/>
        <v>0</v>
      </c>
      <c r="CE114" s="66"/>
      <c r="CF114" s="66"/>
      <c r="CG114" s="66"/>
      <c r="CH114" s="66"/>
      <c r="CI114" s="66"/>
      <c r="CJ114" s="66"/>
      <c r="CK114" s="66"/>
      <c r="CL114" s="66"/>
      <c r="CM114" s="66"/>
      <c r="CN114" s="66"/>
      <c r="CO114" s="66"/>
      <c r="CP114" s="66"/>
      <c r="CQ114" s="66"/>
      <c r="CR114" s="66"/>
      <c r="CS114" s="66"/>
      <c r="CT114" s="66"/>
      <c r="CU114" s="66"/>
      <c r="CV114" s="66"/>
      <c r="CW114" s="66"/>
      <c r="CX114" s="66"/>
      <c r="CY114" s="66"/>
      <c r="CZ114" s="66"/>
      <c r="DA114" s="66"/>
      <c r="DB114" s="22">
        <f t="shared" si="59"/>
        <v>1</v>
      </c>
      <c r="DC114" s="66">
        <f t="shared" si="76"/>
        <v>2313284</v>
      </c>
      <c r="DD114" s="66">
        <f t="shared" si="103"/>
        <v>0</v>
      </c>
      <c r="DE114" s="66">
        <f t="shared" si="103"/>
        <v>0</v>
      </c>
      <c r="DF114" s="66"/>
      <c r="DG114" s="66">
        <f t="shared" si="104"/>
        <v>0</v>
      </c>
      <c r="DH114" s="66">
        <f t="shared" si="104"/>
        <v>0</v>
      </c>
      <c r="DI114" s="66">
        <f t="shared" si="104"/>
        <v>0</v>
      </c>
      <c r="DJ114" s="66">
        <f t="shared" si="104"/>
        <v>0</v>
      </c>
      <c r="DK114" s="66">
        <f t="shared" si="104"/>
        <v>0</v>
      </c>
      <c r="DL114" s="66">
        <f t="shared" si="104"/>
        <v>0</v>
      </c>
      <c r="DM114" s="66">
        <f t="shared" si="104"/>
        <v>0</v>
      </c>
      <c r="DN114" s="66">
        <f t="shared" si="104"/>
        <v>0</v>
      </c>
      <c r="DO114" s="66">
        <f t="shared" si="104"/>
        <v>0</v>
      </c>
      <c r="DP114" s="66">
        <f t="shared" si="104"/>
        <v>0</v>
      </c>
      <c r="DQ114" s="66">
        <f t="shared" si="104"/>
        <v>0</v>
      </c>
      <c r="DR114" s="66">
        <f t="shared" si="104"/>
        <v>0</v>
      </c>
      <c r="DS114" s="66">
        <f t="shared" si="104"/>
        <v>0</v>
      </c>
      <c r="DT114" s="66">
        <f t="shared" si="104"/>
        <v>0</v>
      </c>
      <c r="DU114" s="66">
        <f t="shared" si="104"/>
        <v>0</v>
      </c>
      <c r="DV114" s="66">
        <f t="shared" si="104"/>
        <v>0</v>
      </c>
      <c r="DW114" s="66">
        <f t="shared" si="105"/>
        <v>2313284</v>
      </c>
      <c r="DX114" s="66">
        <f t="shared" si="105"/>
        <v>0</v>
      </c>
      <c r="DY114" s="66"/>
      <c r="DZ114" s="66">
        <f t="shared" si="106"/>
        <v>0</v>
      </c>
      <c r="EC114" s="173">
        <v>2313284</v>
      </c>
      <c r="ED114" s="173">
        <v>0</v>
      </c>
      <c r="EE114" s="174">
        <f t="shared" si="94"/>
        <v>0</v>
      </c>
    </row>
    <row r="115" spans="1:135" ht="17.399999999999999" hidden="1" customHeight="1" x14ac:dyDescent="0.3">
      <c r="A115" s="224"/>
      <c r="B115" s="125"/>
      <c r="C115" s="70" t="s">
        <v>94</v>
      </c>
      <c r="D115" s="69" t="s">
        <v>93</v>
      </c>
      <c r="E115" s="124">
        <v>301</v>
      </c>
      <c r="F115" s="67" t="s">
        <v>21</v>
      </c>
      <c r="G115" s="66">
        <f t="shared" si="95"/>
        <v>10000000</v>
      </c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  <c r="AA115" s="66">
        <v>10000000</v>
      </c>
      <c r="AB115" s="66"/>
      <c r="AC115" s="66"/>
      <c r="AD115" s="66"/>
      <c r="AE115" s="22">
        <f t="shared" si="81"/>
        <v>1</v>
      </c>
      <c r="AF115" s="66">
        <f t="shared" si="96"/>
        <v>10000000</v>
      </c>
      <c r="AG115" s="66"/>
      <c r="AH115" s="66"/>
      <c r="AI115" s="66"/>
      <c r="AJ115" s="66"/>
      <c r="AK115" s="66"/>
      <c r="AL115" s="66"/>
      <c r="AM115" s="66"/>
      <c r="AN115" s="66"/>
      <c r="AO115" s="66"/>
      <c r="AP115" s="66"/>
      <c r="AQ115" s="66"/>
      <c r="AR115" s="66"/>
      <c r="AS115" s="66"/>
      <c r="AT115" s="66"/>
      <c r="AU115" s="66"/>
      <c r="AV115" s="66"/>
      <c r="AW115" s="66"/>
      <c r="AX115" s="66"/>
      <c r="AY115" s="66"/>
      <c r="AZ115" s="66">
        <f>+'[5]MARZO 2019'!$AB$411</f>
        <v>10000000</v>
      </c>
      <c r="BA115" s="66"/>
      <c r="BB115" s="66"/>
      <c r="BC115" s="66"/>
      <c r="BD115" s="22">
        <f t="shared" si="57"/>
        <v>0</v>
      </c>
      <c r="BE115" s="66">
        <f t="shared" si="97"/>
        <v>0</v>
      </c>
      <c r="BF115" s="66">
        <f t="shared" si="107"/>
        <v>0</v>
      </c>
      <c r="BG115" s="66">
        <f t="shared" si="107"/>
        <v>0</v>
      </c>
      <c r="BH115" s="66">
        <f t="shared" si="107"/>
        <v>0</v>
      </c>
      <c r="BI115" s="66">
        <f t="shared" si="99"/>
        <v>0</v>
      </c>
      <c r="BJ115" s="66">
        <f t="shared" si="108"/>
        <v>0</v>
      </c>
      <c r="BK115" s="66">
        <f t="shared" si="108"/>
        <v>0</v>
      </c>
      <c r="BL115" s="66">
        <f t="shared" si="108"/>
        <v>0</v>
      </c>
      <c r="BM115" s="66">
        <f t="shared" si="108"/>
        <v>0</v>
      </c>
      <c r="BN115" s="66">
        <f t="shared" si="108"/>
        <v>0</v>
      </c>
      <c r="BO115" s="66">
        <f t="shared" si="108"/>
        <v>0</v>
      </c>
      <c r="BP115" s="66">
        <f t="shared" si="108"/>
        <v>0</v>
      </c>
      <c r="BQ115" s="66">
        <f t="shared" si="108"/>
        <v>0</v>
      </c>
      <c r="BR115" s="66">
        <f t="shared" si="108"/>
        <v>0</v>
      </c>
      <c r="BS115" s="66">
        <f t="shared" si="108"/>
        <v>0</v>
      </c>
      <c r="BT115" s="66">
        <f t="shared" si="108"/>
        <v>0</v>
      </c>
      <c r="BU115" s="66">
        <f t="shared" si="108"/>
        <v>0</v>
      </c>
      <c r="BV115" s="66">
        <f t="shared" si="108"/>
        <v>0</v>
      </c>
      <c r="BW115" s="66">
        <f t="shared" si="108"/>
        <v>0</v>
      </c>
      <c r="BX115" s="66">
        <f t="shared" si="108"/>
        <v>0</v>
      </c>
      <c r="BY115" s="66">
        <f t="shared" si="101"/>
        <v>0</v>
      </c>
      <c r="BZ115" s="66">
        <f t="shared" si="101"/>
        <v>0</v>
      </c>
      <c r="CA115" s="66"/>
      <c r="CB115" s="66">
        <f t="shared" si="109"/>
        <v>0</v>
      </c>
      <c r="CC115" s="22">
        <f t="shared" si="110"/>
        <v>0</v>
      </c>
      <c r="CD115" s="66">
        <f t="shared" si="102"/>
        <v>0</v>
      </c>
      <c r="CE115" s="66"/>
      <c r="CF115" s="66"/>
      <c r="CG115" s="66"/>
      <c r="CH115" s="66"/>
      <c r="CI115" s="66"/>
      <c r="CJ115" s="66"/>
      <c r="CK115" s="66"/>
      <c r="CL115" s="66"/>
      <c r="CM115" s="66"/>
      <c r="CN115" s="66"/>
      <c r="CO115" s="66"/>
      <c r="CP115" s="66"/>
      <c r="CQ115" s="66"/>
      <c r="CR115" s="66"/>
      <c r="CS115" s="66"/>
      <c r="CT115" s="66"/>
      <c r="CU115" s="66"/>
      <c r="CV115" s="66"/>
      <c r="CW115" s="66"/>
      <c r="CX115" s="66"/>
      <c r="CY115" s="66"/>
      <c r="CZ115" s="66"/>
      <c r="DA115" s="66"/>
      <c r="DB115" s="22">
        <f t="shared" si="59"/>
        <v>1</v>
      </c>
      <c r="DC115" s="66">
        <f t="shared" si="76"/>
        <v>10000000</v>
      </c>
      <c r="DD115" s="66">
        <f t="shared" si="103"/>
        <v>0</v>
      </c>
      <c r="DE115" s="66">
        <f t="shared" si="103"/>
        <v>0</v>
      </c>
      <c r="DF115" s="66"/>
      <c r="DG115" s="66">
        <f t="shared" si="104"/>
        <v>0</v>
      </c>
      <c r="DH115" s="66">
        <f t="shared" si="104"/>
        <v>0</v>
      </c>
      <c r="DI115" s="66">
        <f t="shared" si="104"/>
        <v>0</v>
      </c>
      <c r="DJ115" s="66">
        <f t="shared" si="104"/>
        <v>0</v>
      </c>
      <c r="DK115" s="66">
        <f t="shared" si="104"/>
        <v>0</v>
      </c>
      <c r="DL115" s="66">
        <f t="shared" si="104"/>
        <v>0</v>
      </c>
      <c r="DM115" s="66">
        <f t="shared" si="104"/>
        <v>0</v>
      </c>
      <c r="DN115" s="66">
        <f t="shared" si="104"/>
        <v>0</v>
      </c>
      <c r="DO115" s="66">
        <f t="shared" si="104"/>
        <v>0</v>
      </c>
      <c r="DP115" s="66">
        <f t="shared" si="104"/>
        <v>0</v>
      </c>
      <c r="DQ115" s="66">
        <f t="shared" si="104"/>
        <v>0</v>
      </c>
      <c r="DR115" s="66">
        <f t="shared" si="104"/>
        <v>0</v>
      </c>
      <c r="DS115" s="66">
        <f t="shared" si="104"/>
        <v>0</v>
      </c>
      <c r="DT115" s="66">
        <f t="shared" si="104"/>
        <v>0</v>
      </c>
      <c r="DU115" s="66">
        <f t="shared" si="104"/>
        <v>0</v>
      </c>
      <c r="DV115" s="66">
        <f t="shared" si="104"/>
        <v>0</v>
      </c>
      <c r="DW115" s="66">
        <f t="shared" si="105"/>
        <v>10000000</v>
      </c>
      <c r="DX115" s="66">
        <f t="shared" si="105"/>
        <v>0</v>
      </c>
      <c r="DY115" s="66"/>
      <c r="DZ115" s="66">
        <f t="shared" si="106"/>
        <v>0</v>
      </c>
      <c r="EC115" s="173">
        <v>10000000</v>
      </c>
      <c r="ED115" s="173">
        <v>0</v>
      </c>
      <c r="EE115" s="174">
        <f t="shared" si="94"/>
        <v>0</v>
      </c>
    </row>
    <row r="116" spans="1:135" ht="15.6" hidden="1" customHeight="1" x14ac:dyDescent="0.3">
      <c r="A116" s="224"/>
      <c r="B116" s="125"/>
      <c r="C116" s="70" t="s">
        <v>92</v>
      </c>
      <c r="D116" s="69" t="s">
        <v>91</v>
      </c>
      <c r="E116" s="124">
        <v>301</v>
      </c>
      <c r="F116" s="67" t="s">
        <v>21</v>
      </c>
      <c r="G116" s="66">
        <f t="shared" si="95"/>
        <v>6000000</v>
      </c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  <c r="AA116" s="66">
        <v>6000000</v>
      </c>
      <c r="AB116" s="66"/>
      <c r="AC116" s="66"/>
      <c r="AD116" s="66"/>
      <c r="AE116" s="22">
        <f t="shared" si="81"/>
        <v>1</v>
      </c>
      <c r="AF116" s="66">
        <f t="shared" si="96"/>
        <v>6000000</v>
      </c>
      <c r="AG116" s="66"/>
      <c r="AH116" s="66"/>
      <c r="AI116" s="66"/>
      <c r="AJ116" s="66"/>
      <c r="AK116" s="66"/>
      <c r="AL116" s="66"/>
      <c r="AM116" s="66"/>
      <c r="AN116" s="66"/>
      <c r="AO116" s="66"/>
      <c r="AP116" s="66"/>
      <c r="AQ116" s="66"/>
      <c r="AR116" s="66"/>
      <c r="AS116" s="66"/>
      <c r="AT116" s="66"/>
      <c r="AU116" s="66"/>
      <c r="AV116" s="66"/>
      <c r="AW116" s="66"/>
      <c r="AX116" s="66"/>
      <c r="AY116" s="66"/>
      <c r="AZ116" s="66">
        <f>+'[5]MARZO 2019'!$AB$417</f>
        <v>6000000</v>
      </c>
      <c r="BA116" s="66"/>
      <c r="BB116" s="66"/>
      <c r="BC116" s="66"/>
      <c r="BD116" s="22">
        <f t="shared" si="57"/>
        <v>0</v>
      </c>
      <c r="BE116" s="66">
        <f t="shared" si="97"/>
        <v>0</v>
      </c>
      <c r="BF116" s="66">
        <f t="shared" si="107"/>
        <v>0</v>
      </c>
      <c r="BG116" s="66">
        <f t="shared" si="107"/>
        <v>0</v>
      </c>
      <c r="BH116" s="66">
        <f t="shared" si="107"/>
        <v>0</v>
      </c>
      <c r="BI116" s="66">
        <f t="shared" si="99"/>
        <v>0</v>
      </c>
      <c r="BJ116" s="66">
        <f t="shared" si="108"/>
        <v>0</v>
      </c>
      <c r="BK116" s="66">
        <f t="shared" si="108"/>
        <v>0</v>
      </c>
      <c r="BL116" s="66">
        <f t="shared" si="108"/>
        <v>0</v>
      </c>
      <c r="BM116" s="66">
        <f t="shared" si="108"/>
        <v>0</v>
      </c>
      <c r="BN116" s="66">
        <f t="shared" si="108"/>
        <v>0</v>
      </c>
      <c r="BO116" s="66">
        <f t="shared" si="108"/>
        <v>0</v>
      </c>
      <c r="BP116" s="66">
        <f t="shared" si="108"/>
        <v>0</v>
      </c>
      <c r="BQ116" s="66">
        <f t="shared" si="108"/>
        <v>0</v>
      </c>
      <c r="BR116" s="66">
        <f t="shared" si="108"/>
        <v>0</v>
      </c>
      <c r="BS116" s="66">
        <f t="shared" si="108"/>
        <v>0</v>
      </c>
      <c r="BT116" s="66">
        <f t="shared" si="108"/>
        <v>0</v>
      </c>
      <c r="BU116" s="66">
        <f t="shared" si="108"/>
        <v>0</v>
      </c>
      <c r="BV116" s="66">
        <f t="shared" si="108"/>
        <v>0</v>
      </c>
      <c r="BW116" s="66">
        <f t="shared" si="108"/>
        <v>0</v>
      </c>
      <c r="BX116" s="66">
        <f t="shared" si="108"/>
        <v>0</v>
      </c>
      <c r="BY116" s="66">
        <f t="shared" si="101"/>
        <v>0</v>
      </c>
      <c r="BZ116" s="66">
        <f t="shared" si="101"/>
        <v>0</v>
      </c>
      <c r="CA116" s="66"/>
      <c r="CB116" s="66">
        <f t="shared" si="109"/>
        <v>0</v>
      </c>
      <c r="CC116" s="22">
        <f t="shared" si="110"/>
        <v>0.41666666666666669</v>
      </c>
      <c r="CD116" s="66">
        <f t="shared" si="102"/>
        <v>2500000</v>
      </c>
      <c r="CE116" s="66"/>
      <c r="CF116" s="66"/>
      <c r="CG116" s="66"/>
      <c r="CH116" s="66"/>
      <c r="CI116" s="66"/>
      <c r="CJ116" s="66"/>
      <c r="CK116" s="66"/>
      <c r="CL116" s="66"/>
      <c r="CM116" s="66"/>
      <c r="CN116" s="66"/>
      <c r="CO116" s="66"/>
      <c r="CP116" s="66"/>
      <c r="CQ116" s="66"/>
      <c r="CR116" s="66"/>
      <c r="CS116" s="66"/>
      <c r="CT116" s="66"/>
      <c r="CU116" s="66"/>
      <c r="CV116" s="66"/>
      <c r="CW116" s="66"/>
      <c r="CX116" s="66">
        <f>+'[7]AGOSTO 2019'!$H$1091</f>
        <v>2500000</v>
      </c>
      <c r="CY116" s="66"/>
      <c r="CZ116" s="66"/>
      <c r="DA116" s="66"/>
      <c r="DB116" s="22">
        <f t="shared" si="59"/>
        <v>0.58333333333333326</v>
      </c>
      <c r="DC116" s="66">
        <f t="shared" si="76"/>
        <v>3500000</v>
      </c>
      <c r="DD116" s="66">
        <f t="shared" si="103"/>
        <v>0</v>
      </c>
      <c r="DE116" s="66">
        <f t="shared" si="103"/>
        <v>0</v>
      </c>
      <c r="DF116" s="66"/>
      <c r="DG116" s="66">
        <f t="shared" si="104"/>
        <v>0</v>
      </c>
      <c r="DH116" s="66">
        <f t="shared" si="104"/>
        <v>0</v>
      </c>
      <c r="DI116" s="66">
        <f t="shared" si="104"/>
        <v>0</v>
      </c>
      <c r="DJ116" s="66">
        <f t="shared" si="104"/>
        <v>0</v>
      </c>
      <c r="DK116" s="66">
        <f t="shared" si="104"/>
        <v>0</v>
      </c>
      <c r="DL116" s="66">
        <f t="shared" si="104"/>
        <v>0</v>
      </c>
      <c r="DM116" s="66">
        <f t="shared" si="104"/>
        <v>0</v>
      </c>
      <c r="DN116" s="66">
        <f t="shared" si="104"/>
        <v>0</v>
      </c>
      <c r="DO116" s="66">
        <f t="shared" si="104"/>
        <v>0</v>
      </c>
      <c r="DP116" s="66">
        <f t="shared" si="104"/>
        <v>0</v>
      </c>
      <c r="DQ116" s="66">
        <f t="shared" si="104"/>
        <v>0</v>
      </c>
      <c r="DR116" s="66">
        <f t="shared" si="104"/>
        <v>0</v>
      </c>
      <c r="DS116" s="66">
        <f t="shared" si="104"/>
        <v>0</v>
      </c>
      <c r="DT116" s="66">
        <f t="shared" si="104"/>
        <v>0</v>
      </c>
      <c r="DU116" s="66">
        <f t="shared" si="104"/>
        <v>0</v>
      </c>
      <c r="DV116" s="66">
        <f t="shared" si="104"/>
        <v>0</v>
      </c>
      <c r="DW116" s="66">
        <f t="shared" si="105"/>
        <v>3500000</v>
      </c>
      <c r="DX116" s="66">
        <f t="shared" si="105"/>
        <v>0</v>
      </c>
      <c r="DY116" s="66"/>
      <c r="DZ116" s="66">
        <f t="shared" si="106"/>
        <v>0</v>
      </c>
      <c r="EC116" s="173">
        <v>6000000</v>
      </c>
      <c r="ED116" s="173">
        <v>2500000</v>
      </c>
      <c r="EE116" s="174">
        <f t="shared" si="94"/>
        <v>0.41666666666666669</v>
      </c>
    </row>
    <row r="117" spans="1:135" ht="26.4" hidden="1" customHeight="1" x14ac:dyDescent="0.3">
      <c r="A117" s="224"/>
      <c r="B117" s="91" t="s">
        <v>90</v>
      </c>
      <c r="C117" s="70" t="s">
        <v>89</v>
      </c>
      <c r="D117" s="71" t="s">
        <v>88</v>
      </c>
      <c r="E117" s="124">
        <v>301</v>
      </c>
      <c r="F117" s="67" t="s">
        <v>21</v>
      </c>
      <c r="G117" s="66">
        <f t="shared" si="95"/>
        <v>1564414901</v>
      </c>
      <c r="H117" s="66">
        <v>328968376</v>
      </c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  <c r="AA117" s="66">
        <v>1235446525</v>
      </c>
      <c r="AB117" s="66"/>
      <c r="AC117" s="66"/>
      <c r="AD117" s="66"/>
      <c r="AE117" s="22">
        <f t="shared" si="81"/>
        <v>0.99988423978838081</v>
      </c>
      <c r="AF117" s="66">
        <f t="shared" si="96"/>
        <v>1564233804</v>
      </c>
      <c r="AG117" s="66">
        <f>+'[9]ENERO 2019'!$J$303</f>
        <v>328965376</v>
      </c>
      <c r="AH117" s="66"/>
      <c r="AI117" s="66"/>
      <c r="AJ117" s="66"/>
      <c r="AK117" s="66"/>
      <c r="AL117" s="66"/>
      <c r="AM117" s="66"/>
      <c r="AN117" s="66"/>
      <c r="AO117" s="66"/>
      <c r="AP117" s="66"/>
      <c r="AQ117" s="66"/>
      <c r="AR117" s="66"/>
      <c r="AS117" s="66"/>
      <c r="AT117" s="66"/>
      <c r="AU117" s="66"/>
      <c r="AV117" s="66"/>
      <c r="AW117" s="66"/>
      <c r="AX117" s="66"/>
      <c r="AY117" s="66"/>
      <c r="AZ117" s="66">
        <f>+'[1]OCTUBRE 2019'!$AC$1474</f>
        <v>1235268428</v>
      </c>
      <c r="BA117" s="66"/>
      <c r="BB117" s="66"/>
      <c r="BC117" s="66"/>
      <c r="BD117" s="22">
        <f t="shared" si="57"/>
        <v>1.1576021161918693E-4</v>
      </c>
      <c r="BE117" s="66">
        <f t="shared" si="97"/>
        <v>181097</v>
      </c>
      <c r="BF117" s="66">
        <f t="shared" si="107"/>
        <v>3000</v>
      </c>
      <c r="BG117" s="66">
        <f t="shared" si="107"/>
        <v>0</v>
      </c>
      <c r="BH117" s="66">
        <f t="shared" si="107"/>
        <v>0</v>
      </c>
      <c r="BI117" s="66">
        <f t="shared" si="99"/>
        <v>0</v>
      </c>
      <c r="BJ117" s="66">
        <f t="shared" si="108"/>
        <v>0</v>
      </c>
      <c r="BK117" s="66">
        <f t="shared" si="108"/>
        <v>0</v>
      </c>
      <c r="BL117" s="66">
        <f t="shared" si="108"/>
        <v>0</v>
      </c>
      <c r="BM117" s="66">
        <f t="shared" si="108"/>
        <v>0</v>
      </c>
      <c r="BN117" s="66">
        <f t="shared" si="108"/>
        <v>0</v>
      </c>
      <c r="BO117" s="66">
        <f t="shared" si="108"/>
        <v>0</v>
      </c>
      <c r="BP117" s="66">
        <f t="shared" si="108"/>
        <v>0</v>
      </c>
      <c r="BQ117" s="66">
        <f t="shared" si="108"/>
        <v>0</v>
      </c>
      <c r="BR117" s="66">
        <f t="shared" si="108"/>
        <v>0</v>
      </c>
      <c r="BS117" s="66">
        <f t="shared" si="108"/>
        <v>0</v>
      </c>
      <c r="BT117" s="66">
        <f t="shared" si="108"/>
        <v>0</v>
      </c>
      <c r="BU117" s="66">
        <f t="shared" si="108"/>
        <v>0</v>
      </c>
      <c r="BV117" s="66">
        <f t="shared" si="108"/>
        <v>0</v>
      </c>
      <c r="BW117" s="66">
        <f t="shared" si="108"/>
        <v>0</v>
      </c>
      <c r="BX117" s="66">
        <f t="shared" si="108"/>
        <v>0</v>
      </c>
      <c r="BY117" s="66">
        <f t="shared" si="101"/>
        <v>178097</v>
      </c>
      <c r="BZ117" s="66">
        <f t="shared" si="101"/>
        <v>0</v>
      </c>
      <c r="CA117" s="66"/>
      <c r="CB117" s="66">
        <f t="shared" si="109"/>
        <v>0</v>
      </c>
      <c r="CC117" s="22">
        <f t="shared" si="110"/>
        <v>0.99391846690163943</v>
      </c>
      <c r="CD117" s="66">
        <f t="shared" si="102"/>
        <v>1554900860</v>
      </c>
      <c r="CE117" s="66">
        <f>+'[5]MARZO 2019'!$H$440</f>
        <v>328965376</v>
      </c>
      <c r="CF117" s="66"/>
      <c r="CG117" s="66"/>
      <c r="CH117" s="66"/>
      <c r="CI117" s="66"/>
      <c r="CJ117" s="66"/>
      <c r="CK117" s="66"/>
      <c r="CL117" s="66"/>
      <c r="CM117" s="66"/>
      <c r="CN117" s="66"/>
      <c r="CO117" s="66"/>
      <c r="CP117" s="66"/>
      <c r="CQ117" s="66"/>
      <c r="CR117" s="66"/>
      <c r="CS117" s="66"/>
      <c r="CT117" s="66"/>
      <c r="CU117" s="66"/>
      <c r="CV117" s="66"/>
      <c r="CW117" s="66"/>
      <c r="CX117" s="66">
        <f>+'[7]AGOSTO 2019'!$H$1107+'[7]AGOSTO 2019'!$H$1117</f>
        <v>1225935484</v>
      </c>
      <c r="CY117" s="66"/>
      <c r="CZ117" s="66"/>
      <c r="DA117" s="66"/>
      <c r="DB117" s="22">
        <f t="shared" si="59"/>
        <v>6.0815330983605698E-3</v>
      </c>
      <c r="DC117" s="66">
        <f t="shared" si="76"/>
        <v>9514041</v>
      </c>
      <c r="DD117" s="66">
        <f t="shared" si="103"/>
        <v>3000</v>
      </c>
      <c r="DE117" s="66">
        <f t="shared" si="103"/>
        <v>0</v>
      </c>
      <c r="DF117" s="66">
        <f>J117-CG117</f>
        <v>0</v>
      </c>
      <c r="DG117" s="66">
        <f t="shared" si="104"/>
        <v>0</v>
      </c>
      <c r="DH117" s="66">
        <f t="shared" si="104"/>
        <v>0</v>
      </c>
      <c r="DI117" s="66">
        <f t="shared" si="104"/>
        <v>0</v>
      </c>
      <c r="DJ117" s="66">
        <f t="shared" si="104"/>
        <v>0</v>
      </c>
      <c r="DK117" s="66">
        <f t="shared" si="104"/>
        <v>0</v>
      </c>
      <c r="DL117" s="66">
        <f t="shared" si="104"/>
        <v>0</v>
      </c>
      <c r="DM117" s="66">
        <f t="shared" si="104"/>
        <v>0</v>
      </c>
      <c r="DN117" s="66">
        <f t="shared" si="104"/>
        <v>0</v>
      </c>
      <c r="DO117" s="66">
        <f t="shared" si="104"/>
        <v>0</v>
      </c>
      <c r="DP117" s="66">
        <f t="shared" si="104"/>
        <v>0</v>
      </c>
      <c r="DQ117" s="66">
        <f t="shared" si="104"/>
        <v>0</v>
      </c>
      <c r="DR117" s="66">
        <f t="shared" si="104"/>
        <v>0</v>
      </c>
      <c r="DS117" s="66">
        <f t="shared" si="104"/>
        <v>0</v>
      </c>
      <c r="DT117" s="66">
        <f t="shared" si="104"/>
        <v>0</v>
      </c>
      <c r="DU117" s="66">
        <f t="shared" si="104"/>
        <v>0</v>
      </c>
      <c r="DV117" s="66">
        <f t="shared" si="104"/>
        <v>0</v>
      </c>
      <c r="DW117" s="66">
        <f t="shared" si="105"/>
        <v>9511041</v>
      </c>
      <c r="DX117" s="66">
        <f t="shared" si="105"/>
        <v>0</v>
      </c>
      <c r="DY117" s="66"/>
      <c r="DZ117" s="66">
        <f t="shared" si="106"/>
        <v>0</v>
      </c>
      <c r="EC117" s="173">
        <v>1564414901</v>
      </c>
      <c r="ED117" s="173">
        <v>1554900860</v>
      </c>
      <c r="EE117" s="174">
        <f t="shared" si="94"/>
        <v>0.99391846690163943</v>
      </c>
    </row>
    <row r="118" spans="1:135" ht="16.8" hidden="1" customHeight="1" x14ac:dyDescent="0.3">
      <c r="A118" s="92"/>
      <c r="B118" s="90" t="s">
        <v>87</v>
      </c>
      <c r="C118" s="70" t="s">
        <v>86</v>
      </c>
      <c r="D118" s="88" t="s">
        <v>85</v>
      </c>
      <c r="E118" s="124">
        <v>301</v>
      </c>
      <c r="F118" s="67" t="s">
        <v>21</v>
      </c>
      <c r="G118" s="66">
        <f t="shared" si="95"/>
        <v>681816144</v>
      </c>
      <c r="H118" s="86"/>
      <c r="I118" s="86"/>
      <c r="J118" s="86"/>
      <c r="K118" s="66">
        <v>681816144</v>
      </c>
      <c r="L118" s="86"/>
      <c r="M118" s="86"/>
      <c r="N118" s="86"/>
      <c r="O118" s="86"/>
      <c r="P118" s="86"/>
      <c r="Q118" s="86"/>
      <c r="R118" s="86"/>
      <c r="S118" s="86"/>
      <c r="T118" s="86"/>
      <c r="U118" s="86"/>
      <c r="V118" s="86"/>
      <c r="W118" s="86"/>
      <c r="X118" s="86"/>
      <c r="Y118" s="86"/>
      <c r="Z118" s="86"/>
      <c r="AA118" s="66"/>
      <c r="AB118" s="86"/>
      <c r="AC118" s="86"/>
      <c r="AD118" s="86"/>
      <c r="AE118" s="22">
        <f t="shared" si="81"/>
        <v>1</v>
      </c>
      <c r="AF118" s="66">
        <f t="shared" si="96"/>
        <v>681816144</v>
      </c>
      <c r="AG118" s="86"/>
      <c r="AH118" s="86"/>
      <c r="AI118" s="86"/>
      <c r="AJ118" s="86">
        <f>+'[2]SEPTIEMBRE 2019'!$L$1407</f>
        <v>681816144</v>
      </c>
      <c r="AK118" s="86"/>
      <c r="AL118" s="86"/>
      <c r="AM118" s="86"/>
      <c r="AN118" s="86"/>
      <c r="AO118" s="86"/>
      <c r="AP118" s="86"/>
      <c r="AQ118" s="86"/>
      <c r="AR118" s="86"/>
      <c r="AS118" s="86"/>
      <c r="AT118" s="86"/>
      <c r="AU118" s="86"/>
      <c r="AV118" s="86"/>
      <c r="AW118" s="86"/>
      <c r="AX118" s="86"/>
      <c r="AY118" s="86"/>
      <c r="AZ118" s="86"/>
      <c r="BA118" s="86"/>
      <c r="BB118" s="86"/>
      <c r="BC118" s="86"/>
      <c r="BD118" s="22">
        <f t="shared" si="57"/>
        <v>0</v>
      </c>
      <c r="BE118" s="66">
        <f t="shared" si="97"/>
        <v>0</v>
      </c>
      <c r="BF118" s="66"/>
      <c r="BG118" s="66"/>
      <c r="BH118" s="66"/>
      <c r="BI118" s="66">
        <f t="shared" si="99"/>
        <v>0</v>
      </c>
      <c r="BJ118" s="66">
        <f t="shared" si="108"/>
        <v>0</v>
      </c>
      <c r="BK118" s="66">
        <f t="shared" si="108"/>
        <v>0</v>
      </c>
      <c r="BL118" s="66">
        <f t="shared" si="108"/>
        <v>0</v>
      </c>
      <c r="BM118" s="66">
        <f t="shared" si="108"/>
        <v>0</v>
      </c>
      <c r="BN118" s="66">
        <f t="shared" si="108"/>
        <v>0</v>
      </c>
      <c r="BO118" s="66">
        <f t="shared" si="108"/>
        <v>0</v>
      </c>
      <c r="BP118" s="66">
        <f t="shared" si="108"/>
        <v>0</v>
      </c>
      <c r="BQ118" s="66">
        <f t="shared" si="108"/>
        <v>0</v>
      </c>
      <c r="BR118" s="66">
        <f t="shared" si="108"/>
        <v>0</v>
      </c>
      <c r="BS118" s="66">
        <f t="shared" si="108"/>
        <v>0</v>
      </c>
      <c r="BT118" s="66">
        <f t="shared" si="108"/>
        <v>0</v>
      </c>
      <c r="BU118" s="66">
        <f t="shared" si="108"/>
        <v>0</v>
      </c>
      <c r="BV118" s="66">
        <f t="shared" si="108"/>
        <v>0</v>
      </c>
      <c r="BW118" s="66">
        <f t="shared" si="108"/>
        <v>0</v>
      </c>
      <c r="BX118" s="66">
        <f t="shared" si="108"/>
        <v>0</v>
      </c>
      <c r="BY118" s="66">
        <f t="shared" si="101"/>
        <v>0</v>
      </c>
      <c r="BZ118" s="66">
        <f t="shared" si="101"/>
        <v>0</v>
      </c>
      <c r="CA118" s="66"/>
      <c r="CB118" s="66">
        <f t="shared" si="109"/>
        <v>0</v>
      </c>
      <c r="CC118" s="22">
        <f t="shared" si="110"/>
        <v>0.15980746269921117</v>
      </c>
      <c r="CD118" s="66">
        <f t="shared" si="102"/>
        <v>108959308</v>
      </c>
      <c r="CE118" s="86"/>
      <c r="CF118" s="86"/>
      <c r="CG118" s="86"/>
      <c r="CH118" s="86">
        <f>+'[1]OCTUBRE 2019'!$H$1544</f>
        <v>108959308</v>
      </c>
      <c r="CI118" s="86"/>
      <c r="CJ118" s="86"/>
      <c r="CK118" s="86"/>
      <c r="CL118" s="86"/>
      <c r="CM118" s="86"/>
      <c r="CN118" s="86"/>
      <c r="CO118" s="86"/>
      <c r="CP118" s="86"/>
      <c r="CQ118" s="86"/>
      <c r="CR118" s="86"/>
      <c r="CS118" s="86"/>
      <c r="CT118" s="86"/>
      <c r="CU118" s="86"/>
      <c r="CV118" s="86"/>
      <c r="CW118" s="86"/>
      <c r="CX118" s="86"/>
      <c r="CY118" s="86"/>
      <c r="CZ118" s="86"/>
      <c r="DA118" s="86"/>
      <c r="DB118" s="22">
        <f t="shared" si="59"/>
        <v>0.8401925373007888</v>
      </c>
      <c r="DC118" s="66">
        <f t="shared" si="76"/>
        <v>572856836</v>
      </c>
      <c r="DD118" s="66"/>
      <c r="DE118" s="66"/>
      <c r="DF118" s="66"/>
      <c r="DG118" s="66">
        <f>K118-CH118</f>
        <v>572856836</v>
      </c>
      <c r="DH118" s="66"/>
      <c r="DI118" s="66"/>
      <c r="DJ118" s="66"/>
      <c r="DK118" s="66"/>
      <c r="DL118" s="66"/>
      <c r="DM118" s="66"/>
      <c r="DN118" s="66"/>
      <c r="DO118" s="66"/>
      <c r="DP118" s="66"/>
      <c r="DQ118" s="66"/>
      <c r="DR118" s="66"/>
      <c r="DS118" s="66"/>
      <c r="DT118" s="66"/>
      <c r="DU118" s="66"/>
      <c r="DV118" s="66"/>
      <c r="DW118" s="66"/>
      <c r="DX118" s="66"/>
      <c r="DY118" s="66"/>
      <c r="DZ118" s="66"/>
      <c r="EC118" s="173">
        <v>681816144</v>
      </c>
      <c r="ED118" s="173">
        <v>108959308</v>
      </c>
      <c r="EE118" s="174">
        <f t="shared" si="94"/>
        <v>0.15980746269921117</v>
      </c>
    </row>
    <row r="119" spans="1:135" ht="18.600000000000001" hidden="1" customHeight="1" x14ac:dyDescent="0.3">
      <c r="A119" s="92"/>
      <c r="B119" s="226" t="s">
        <v>84</v>
      </c>
      <c r="C119" s="70" t="s">
        <v>83</v>
      </c>
      <c r="D119" s="88" t="s">
        <v>82</v>
      </c>
      <c r="E119" s="124">
        <v>301</v>
      </c>
      <c r="F119" s="67" t="s">
        <v>21</v>
      </c>
      <c r="G119" s="66">
        <f t="shared" si="95"/>
        <v>100000000</v>
      </c>
      <c r="H119" s="86">
        <v>15000000</v>
      </c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66">
        <v>85000000</v>
      </c>
      <c r="AB119" s="86"/>
      <c r="AC119" s="86"/>
      <c r="AD119" s="86"/>
      <c r="AE119" s="22">
        <f t="shared" si="81"/>
        <v>1</v>
      </c>
      <c r="AF119" s="66">
        <f t="shared" si="96"/>
        <v>100000000</v>
      </c>
      <c r="AG119" s="86">
        <f>+'[11]JULIO 2019'!$J$1030</f>
        <v>15000000</v>
      </c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  <c r="AT119" s="86"/>
      <c r="AU119" s="86"/>
      <c r="AV119" s="86"/>
      <c r="AW119" s="86"/>
      <c r="AX119" s="86"/>
      <c r="AY119" s="86"/>
      <c r="AZ119" s="86">
        <f>+'[7]AGOSTO 2019'!$AB$1145</f>
        <v>85000000</v>
      </c>
      <c r="BA119" s="86"/>
      <c r="BB119" s="86"/>
      <c r="BC119" s="86"/>
      <c r="BD119" s="22">
        <f t="shared" si="57"/>
        <v>0</v>
      </c>
      <c r="BE119" s="66">
        <f t="shared" si="97"/>
        <v>0</v>
      </c>
      <c r="BF119" s="66">
        <f t="shared" ref="BF119:BH121" si="111">H119-AG119</f>
        <v>0</v>
      </c>
      <c r="BG119" s="66">
        <f t="shared" si="111"/>
        <v>0</v>
      </c>
      <c r="BH119" s="66">
        <f t="shared" si="111"/>
        <v>0</v>
      </c>
      <c r="BI119" s="66">
        <f t="shared" si="99"/>
        <v>0</v>
      </c>
      <c r="BJ119" s="66">
        <f t="shared" si="108"/>
        <v>0</v>
      </c>
      <c r="BK119" s="66">
        <f t="shared" si="108"/>
        <v>0</v>
      </c>
      <c r="BL119" s="66">
        <f t="shared" si="108"/>
        <v>0</v>
      </c>
      <c r="BM119" s="66">
        <f t="shared" si="108"/>
        <v>0</v>
      </c>
      <c r="BN119" s="66">
        <f t="shared" si="108"/>
        <v>0</v>
      </c>
      <c r="BO119" s="66">
        <f t="shared" si="108"/>
        <v>0</v>
      </c>
      <c r="BP119" s="66">
        <f t="shared" si="108"/>
        <v>0</v>
      </c>
      <c r="BQ119" s="66">
        <f t="shared" si="108"/>
        <v>0</v>
      </c>
      <c r="BR119" s="66">
        <f t="shared" si="108"/>
        <v>0</v>
      </c>
      <c r="BS119" s="66">
        <f t="shared" si="108"/>
        <v>0</v>
      </c>
      <c r="BT119" s="66">
        <f t="shared" si="108"/>
        <v>0</v>
      </c>
      <c r="BU119" s="66">
        <f t="shared" si="108"/>
        <v>0</v>
      </c>
      <c r="BV119" s="66">
        <f t="shared" si="108"/>
        <v>0</v>
      </c>
      <c r="BW119" s="66">
        <f t="shared" si="108"/>
        <v>0</v>
      </c>
      <c r="BX119" s="66">
        <f t="shared" si="108"/>
        <v>0</v>
      </c>
      <c r="BY119" s="66">
        <f t="shared" si="101"/>
        <v>0</v>
      </c>
      <c r="BZ119" s="66">
        <f t="shared" si="101"/>
        <v>0</v>
      </c>
      <c r="CA119" s="66"/>
      <c r="CB119" s="66">
        <f t="shared" si="109"/>
        <v>0</v>
      </c>
      <c r="CC119" s="22">
        <f t="shared" si="110"/>
        <v>0.73946665</v>
      </c>
      <c r="CD119" s="66">
        <f t="shared" si="102"/>
        <v>73946665</v>
      </c>
      <c r="CE119" s="86">
        <f>+'[7]AGOSTO 2019'!$H$1163</f>
        <v>15000000</v>
      </c>
      <c r="CF119" s="86"/>
      <c r="CG119" s="86"/>
      <c r="CH119" s="86"/>
      <c r="CI119" s="86"/>
      <c r="CJ119" s="86"/>
      <c r="CK119" s="86"/>
      <c r="CL119" s="86"/>
      <c r="CM119" s="86"/>
      <c r="CN119" s="86"/>
      <c r="CO119" s="86"/>
      <c r="CP119" s="86"/>
      <c r="CQ119" s="86"/>
      <c r="CR119" s="86"/>
      <c r="CS119" s="86"/>
      <c r="CT119" s="86"/>
      <c r="CU119" s="86"/>
      <c r="CV119" s="86"/>
      <c r="CW119" s="86"/>
      <c r="CX119" s="86">
        <f>+'[2]SEPTIEMBRE 2019'!$H$1378+'[2]SEPTIEMBRE 2019'!$H$1389-2</f>
        <v>58946665</v>
      </c>
      <c r="CY119" s="86"/>
      <c r="CZ119" s="86"/>
      <c r="DA119" s="86"/>
      <c r="DB119" s="22">
        <f t="shared" si="59"/>
        <v>0.26053335</v>
      </c>
      <c r="DC119" s="66">
        <f t="shared" si="76"/>
        <v>26053335</v>
      </c>
      <c r="DD119" s="66">
        <f t="shared" ref="DD119:DE121" si="112">H119-CE119</f>
        <v>0</v>
      </c>
      <c r="DE119" s="66">
        <f t="shared" si="112"/>
        <v>0</v>
      </c>
      <c r="DF119" s="66"/>
      <c r="DG119" s="66">
        <f>K119-CH119</f>
        <v>0</v>
      </c>
      <c r="DH119" s="66">
        <f t="shared" ref="DH119:DW121" si="113">L119-CI119</f>
        <v>0</v>
      </c>
      <c r="DI119" s="66">
        <f t="shared" si="113"/>
        <v>0</v>
      </c>
      <c r="DJ119" s="66">
        <f t="shared" si="113"/>
        <v>0</v>
      </c>
      <c r="DK119" s="66">
        <f t="shared" si="113"/>
        <v>0</v>
      </c>
      <c r="DL119" s="66">
        <f t="shared" si="113"/>
        <v>0</v>
      </c>
      <c r="DM119" s="66">
        <f t="shared" si="113"/>
        <v>0</v>
      </c>
      <c r="DN119" s="66">
        <f t="shared" si="113"/>
        <v>0</v>
      </c>
      <c r="DO119" s="66">
        <f t="shared" si="113"/>
        <v>0</v>
      </c>
      <c r="DP119" s="66">
        <f t="shared" si="113"/>
        <v>0</v>
      </c>
      <c r="DQ119" s="66">
        <f t="shared" si="113"/>
        <v>0</v>
      </c>
      <c r="DR119" s="66">
        <f t="shared" si="113"/>
        <v>0</v>
      </c>
      <c r="DS119" s="66">
        <f t="shared" si="113"/>
        <v>0</v>
      </c>
      <c r="DT119" s="66">
        <f t="shared" si="113"/>
        <v>0</v>
      </c>
      <c r="DU119" s="66">
        <f t="shared" si="113"/>
        <v>0</v>
      </c>
      <c r="DV119" s="66">
        <f t="shared" si="113"/>
        <v>0</v>
      </c>
      <c r="DW119" s="66">
        <f t="shared" si="113"/>
        <v>26053335</v>
      </c>
      <c r="DX119" s="66">
        <f t="shared" ref="DR119:DX121" si="114">AB119-CY119</f>
        <v>0</v>
      </c>
      <c r="DY119" s="66"/>
      <c r="DZ119" s="66">
        <f>AD119-DA119</f>
        <v>0</v>
      </c>
      <c r="EC119" s="173">
        <v>100000000</v>
      </c>
      <c r="ED119" s="173">
        <v>73946665</v>
      </c>
      <c r="EE119" s="174">
        <f t="shared" si="94"/>
        <v>0.73946665</v>
      </c>
    </row>
    <row r="120" spans="1:135" ht="27.6" hidden="1" customHeight="1" x14ac:dyDescent="0.3">
      <c r="A120" s="92"/>
      <c r="B120" s="227"/>
      <c r="C120" s="70" t="s">
        <v>81</v>
      </c>
      <c r="D120" s="88" t="s">
        <v>80</v>
      </c>
      <c r="E120" s="124">
        <v>301</v>
      </c>
      <c r="F120" s="67" t="s">
        <v>21</v>
      </c>
      <c r="G120" s="66">
        <f t="shared" si="95"/>
        <v>56000000</v>
      </c>
      <c r="H120" s="86">
        <v>8000000</v>
      </c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6"/>
      <c r="U120" s="86"/>
      <c r="V120" s="86"/>
      <c r="W120" s="86"/>
      <c r="X120" s="86"/>
      <c r="Y120" s="86"/>
      <c r="Z120" s="86"/>
      <c r="AA120" s="66">
        <v>48000000</v>
      </c>
      <c r="AB120" s="86"/>
      <c r="AC120" s="86"/>
      <c r="AD120" s="86"/>
      <c r="AE120" s="22">
        <f t="shared" si="81"/>
        <v>1</v>
      </c>
      <c r="AF120" s="66">
        <f t="shared" si="96"/>
        <v>56000000</v>
      </c>
      <c r="AG120" s="86">
        <f>+'[11]JULIO 2019'!$J$1051</f>
        <v>8000000</v>
      </c>
      <c r="AH120" s="86"/>
      <c r="AI120" s="86"/>
      <c r="AJ120" s="86"/>
      <c r="AK120" s="86"/>
      <c r="AL120" s="86"/>
      <c r="AM120" s="86"/>
      <c r="AN120" s="86"/>
      <c r="AO120" s="86"/>
      <c r="AP120" s="86"/>
      <c r="AQ120" s="86"/>
      <c r="AR120" s="86"/>
      <c r="AS120" s="86"/>
      <c r="AT120" s="86"/>
      <c r="AU120" s="86"/>
      <c r="AV120" s="86"/>
      <c r="AW120" s="86"/>
      <c r="AX120" s="86"/>
      <c r="AY120" s="86"/>
      <c r="AZ120" s="86">
        <f>+'[6]MAYO 2019'!$AB$711</f>
        <v>48000000</v>
      </c>
      <c r="BA120" s="86"/>
      <c r="BB120" s="86"/>
      <c r="BC120" s="86"/>
      <c r="BD120" s="22">
        <f t="shared" si="57"/>
        <v>0</v>
      </c>
      <c r="BE120" s="66">
        <f t="shared" si="97"/>
        <v>0</v>
      </c>
      <c r="BF120" s="66">
        <f t="shared" si="111"/>
        <v>0</v>
      </c>
      <c r="BG120" s="66">
        <f t="shared" si="111"/>
        <v>0</v>
      </c>
      <c r="BH120" s="66">
        <f t="shared" si="111"/>
        <v>0</v>
      </c>
      <c r="BI120" s="66">
        <f t="shared" si="99"/>
        <v>0</v>
      </c>
      <c r="BJ120" s="66">
        <f t="shared" si="108"/>
        <v>0</v>
      </c>
      <c r="BK120" s="66">
        <f t="shared" si="108"/>
        <v>0</v>
      </c>
      <c r="BL120" s="66">
        <f t="shared" si="108"/>
        <v>0</v>
      </c>
      <c r="BM120" s="66">
        <f t="shared" si="108"/>
        <v>0</v>
      </c>
      <c r="BN120" s="66">
        <f t="shared" si="108"/>
        <v>0</v>
      </c>
      <c r="BO120" s="66">
        <f t="shared" si="108"/>
        <v>0</v>
      </c>
      <c r="BP120" s="66">
        <f t="shared" si="108"/>
        <v>0</v>
      </c>
      <c r="BQ120" s="66">
        <f t="shared" si="108"/>
        <v>0</v>
      </c>
      <c r="BR120" s="66">
        <f t="shared" si="108"/>
        <v>0</v>
      </c>
      <c r="BS120" s="66">
        <f t="shared" si="108"/>
        <v>0</v>
      </c>
      <c r="BT120" s="66">
        <f t="shared" si="108"/>
        <v>0</v>
      </c>
      <c r="BU120" s="66">
        <f t="shared" si="108"/>
        <v>0</v>
      </c>
      <c r="BV120" s="66">
        <f t="shared" si="108"/>
        <v>0</v>
      </c>
      <c r="BW120" s="66">
        <f t="shared" si="108"/>
        <v>0</v>
      </c>
      <c r="BX120" s="66">
        <f t="shared" si="108"/>
        <v>0</v>
      </c>
      <c r="BY120" s="66">
        <f t="shared" si="101"/>
        <v>0</v>
      </c>
      <c r="BZ120" s="66">
        <f t="shared" si="101"/>
        <v>0</v>
      </c>
      <c r="CA120" s="66"/>
      <c r="CB120" s="66">
        <f t="shared" si="109"/>
        <v>0</v>
      </c>
      <c r="CC120" s="22">
        <f t="shared" si="110"/>
        <v>0.99999996428571425</v>
      </c>
      <c r="CD120" s="66">
        <f t="shared" si="102"/>
        <v>55999998</v>
      </c>
      <c r="CE120" s="86">
        <f>+'[1]OCTUBRE 2019'!$H$1602</f>
        <v>8000000</v>
      </c>
      <c r="CF120" s="86"/>
      <c r="CG120" s="86"/>
      <c r="CH120" s="86"/>
      <c r="CI120" s="86"/>
      <c r="CJ120" s="86"/>
      <c r="CK120" s="86"/>
      <c r="CL120" s="86"/>
      <c r="CM120" s="86"/>
      <c r="CN120" s="86"/>
      <c r="CO120" s="86"/>
      <c r="CP120" s="86"/>
      <c r="CQ120" s="86"/>
      <c r="CR120" s="86"/>
      <c r="CS120" s="86"/>
      <c r="CT120" s="86"/>
      <c r="CU120" s="86"/>
      <c r="CV120" s="86"/>
      <c r="CW120" s="86"/>
      <c r="CX120" s="86">
        <f>+'[2]SEPTIEMBRE 2019'!$H$1418+'[2]SEPTIEMBRE 2019'!$H$1429+'[2]SEPTIEMBRE 2019'!$H$1432+'[2]SEPTIEMBRE 2019'!$H$1442-2</f>
        <v>47999998</v>
      </c>
      <c r="CY120" s="86"/>
      <c r="CZ120" s="86"/>
      <c r="DA120" s="86"/>
      <c r="DB120" s="22">
        <f t="shared" si="59"/>
        <v>3.5714285750998442E-8</v>
      </c>
      <c r="DC120" s="66">
        <f t="shared" si="76"/>
        <v>2</v>
      </c>
      <c r="DD120" s="66">
        <f t="shared" si="112"/>
        <v>0</v>
      </c>
      <c r="DE120" s="66">
        <f t="shared" si="112"/>
        <v>0</v>
      </c>
      <c r="DF120" s="66"/>
      <c r="DG120" s="66">
        <f>K120-CH120</f>
        <v>0</v>
      </c>
      <c r="DH120" s="66">
        <f t="shared" si="113"/>
        <v>0</v>
      </c>
      <c r="DI120" s="66">
        <f t="shared" si="113"/>
        <v>0</v>
      </c>
      <c r="DJ120" s="66">
        <f t="shared" si="113"/>
        <v>0</v>
      </c>
      <c r="DK120" s="66">
        <f t="shared" si="113"/>
        <v>0</v>
      </c>
      <c r="DL120" s="66">
        <f t="shared" si="113"/>
        <v>0</v>
      </c>
      <c r="DM120" s="66">
        <f t="shared" si="113"/>
        <v>0</v>
      </c>
      <c r="DN120" s="66">
        <f t="shared" si="113"/>
        <v>0</v>
      </c>
      <c r="DO120" s="66">
        <f t="shared" si="113"/>
        <v>0</v>
      </c>
      <c r="DP120" s="66">
        <f t="shared" si="113"/>
        <v>0</v>
      </c>
      <c r="DQ120" s="66">
        <f t="shared" si="113"/>
        <v>0</v>
      </c>
      <c r="DR120" s="66">
        <f t="shared" si="114"/>
        <v>0</v>
      </c>
      <c r="DS120" s="66">
        <f t="shared" si="114"/>
        <v>0</v>
      </c>
      <c r="DT120" s="66">
        <f t="shared" si="114"/>
        <v>0</v>
      </c>
      <c r="DU120" s="66">
        <f t="shared" si="114"/>
        <v>0</v>
      </c>
      <c r="DV120" s="66">
        <f t="shared" si="114"/>
        <v>0</v>
      </c>
      <c r="DW120" s="66">
        <f t="shared" si="114"/>
        <v>2</v>
      </c>
      <c r="DX120" s="66">
        <f t="shared" si="114"/>
        <v>0</v>
      </c>
      <c r="DY120" s="66"/>
      <c r="DZ120" s="66">
        <f>AD120-DA120</f>
        <v>0</v>
      </c>
      <c r="EC120" s="173">
        <v>56000000</v>
      </c>
      <c r="ED120" s="173">
        <v>55999998</v>
      </c>
      <c r="EE120" s="174">
        <f t="shared" si="94"/>
        <v>0.99999996428571425</v>
      </c>
    </row>
    <row r="121" spans="1:135" ht="27" hidden="1" customHeight="1" x14ac:dyDescent="0.3">
      <c r="A121" s="92"/>
      <c r="B121" s="228"/>
      <c r="C121" s="70" t="s">
        <v>79</v>
      </c>
      <c r="D121" s="88" t="s">
        <v>78</v>
      </c>
      <c r="E121" s="124">
        <v>301</v>
      </c>
      <c r="F121" s="67" t="s">
        <v>21</v>
      </c>
      <c r="G121" s="66">
        <f t="shared" si="95"/>
        <v>53000000</v>
      </c>
      <c r="H121" s="86">
        <v>13000000</v>
      </c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66">
        <v>40000000</v>
      </c>
      <c r="AB121" s="86"/>
      <c r="AC121" s="86"/>
      <c r="AD121" s="86"/>
      <c r="AE121" s="22">
        <f t="shared" si="81"/>
        <v>1</v>
      </c>
      <c r="AF121" s="66">
        <f t="shared" si="96"/>
        <v>53000000</v>
      </c>
      <c r="AG121" s="86">
        <f>+'[11]JULIO 2019'!$J$1072</f>
        <v>13000000</v>
      </c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6"/>
      <c r="AU121" s="86"/>
      <c r="AV121" s="86"/>
      <c r="AW121" s="86"/>
      <c r="AX121" s="86"/>
      <c r="AY121" s="86"/>
      <c r="AZ121" s="86">
        <f>+'[9]ENERO 2019'!$AB$344</f>
        <v>40000000</v>
      </c>
      <c r="BA121" s="86"/>
      <c r="BB121" s="86"/>
      <c r="BC121" s="86"/>
      <c r="BD121" s="22">
        <f t="shared" si="57"/>
        <v>0</v>
      </c>
      <c r="BE121" s="66">
        <f t="shared" si="97"/>
        <v>0</v>
      </c>
      <c r="BF121" s="66">
        <f t="shared" si="111"/>
        <v>0</v>
      </c>
      <c r="BG121" s="66">
        <f t="shared" si="111"/>
        <v>0</v>
      </c>
      <c r="BH121" s="66">
        <f t="shared" si="111"/>
        <v>0</v>
      </c>
      <c r="BI121" s="66">
        <f t="shared" si="99"/>
        <v>0</v>
      </c>
      <c r="BJ121" s="66">
        <f t="shared" si="108"/>
        <v>0</v>
      </c>
      <c r="BK121" s="66">
        <f t="shared" si="108"/>
        <v>0</v>
      </c>
      <c r="BL121" s="66">
        <f t="shared" si="108"/>
        <v>0</v>
      </c>
      <c r="BM121" s="66">
        <f t="shared" si="108"/>
        <v>0</v>
      </c>
      <c r="BN121" s="66">
        <f t="shared" si="108"/>
        <v>0</v>
      </c>
      <c r="BO121" s="66">
        <f t="shared" si="108"/>
        <v>0</v>
      </c>
      <c r="BP121" s="66">
        <f t="shared" si="108"/>
        <v>0</v>
      </c>
      <c r="BQ121" s="66">
        <f t="shared" si="108"/>
        <v>0</v>
      </c>
      <c r="BR121" s="66">
        <f t="shared" si="108"/>
        <v>0</v>
      </c>
      <c r="BS121" s="66">
        <f t="shared" si="108"/>
        <v>0</v>
      </c>
      <c r="BT121" s="66">
        <f t="shared" si="108"/>
        <v>0</v>
      </c>
      <c r="BU121" s="66">
        <f t="shared" si="108"/>
        <v>0</v>
      </c>
      <c r="BV121" s="66">
        <f t="shared" si="108"/>
        <v>0</v>
      </c>
      <c r="BW121" s="66">
        <f t="shared" si="108"/>
        <v>0</v>
      </c>
      <c r="BX121" s="66">
        <f t="shared" si="108"/>
        <v>0</v>
      </c>
      <c r="BY121" s="66">
        <f t="shared" si="101"/>
        <v>0</v>
      </c>
      <c r="BZ121" s="66">
        <f t="shared" si="101"/>
        <v>0</v>
      </c>
      <c r="CA121" s="66"/>
      <c r="CB121" s="66">
        <f t="shared" si="109"/>
        <v>0</v>
      </c>
      <c r="CC121" s="22">
        <f t="shared" si="110"/>
        <v>0.98742139622641512</v>
      </c>
      <c r="CD121" s="66">
        <f t="shared" si="102"/>
        <v>52333334</v>
      </c>
      <c r="CE121" s="86">
        <f>+'[7]AGOSTO 2019'!$H$1208</f>
        <v>12350000</v>
      </c>
      <c r="CF121" s="86"/>
      <c r="CG121" s="86"/>
      <c r="CH121" s="86"/>
      <c r="CI121" s="86"/>
      <c r="CJ121" s="86"/>
      <c r="CK121" s="86"/>
      <c r="CL121" s="86"/>
      <c r="CM121" s="86"/>
      <c r="CN121" s="86"/>
      <c r="CO121" s="86"/>
      <c r="CP121" s="86"/>
      <c r="CQ121" s="86"/>
      <c r="CR121" s="86"/>
      <c r="CS121" s="86"/>
      <c r="CT121" s="86"/>
      <c r="CU121" s="86"/>
      <c r="CV121" s="86"/>
      <c r="CW121" s="86"/>
      <c r="CX121" s="86">
        <f>+'[7]AGOSTO 2019'!$H$1202</f>
        <v>39983334</v>
      </c>
      <c r="CY121" s="86"/>
      <c r="CZ121" s="86"/>
      <c r="DA121" s="86"/>
      <c r="DB121" s="22">
        <f t="shared" si="59"/>
        <v>1.2578603773584884E-2</v>
      </c>
      <c r="DC121" s="66">
        <f t="shared" si="76"/>
        <v>666666</v>
      </c>
      <c r="DD121" s="66">
        <f t="shared" si="112"/>
        <v>650000</v>
      </c>
      <c r="DE121" s="66">
        <f t="shared" si="112"/>
        <v>0</v>
      </c>
      <c r="DF121" s="66"/>
      <c r="DG121" s="66">
        <f>K121-CH121</f>
        <v>0</v>
      </c>
      <c r="DH121" s="66">
        <f t="shared" si="113"/>
        <v>0</v>
      </c>
      <c r="DI121" s="66">
        <f t="shared" si="113"/>
        <v>0</v>
      </c>
      <c r="DJ121" s="66">
        <f t="shared" si="113"/>
        <v>0</v>
      </c>
      <c r="DK121" s="66">
        <f t="shared" si="113"/>
        <v>0</v>
      </c>
      <c r="DL121" s="66">
        <f t="shared" si="113"/>
        <v>0</v>
      </c>
      <c r="DM121" s="66">
        <f t="shared" si="113"/>
        <v>0</v>
      </c>
      <c r="DN121" s="66">
        <f t="shared" si="113"/>
        <v>0</v>
      </c>
      <c r="DO121" s="66">
        <f t="shared" si="113"/>
        <v>0</v>
      </c>
      <c r="DP121" s="66">
        <f t="shared" si="113"/>
        <v>0</v>
      </c>
      <c r="DQ121" s="66">
        <f t="shared" si="113"/>
        <v>0</v>
      </c>
      <c r="DR121" s="66">
        <f t="shared" si="114"/>
        <v>0</v>
      </c>
      <c r="DS121" s="66">
        <f t="shared" si="114"/>
        <v>0</v>
      </c>
      <c r="DT121" s="66">
        <f t="shared" si="114"/>
        <v>0</v>
      </c>
      <c r="DU121" s="66">
        <f t="shared" si="114"/>
        <v>0</v>
      </c>
      <c r="DV121" s="66">
        <f t="shared" si="114"/>
        <v>0</v>
      </c>
      <c r="DW121" s="66">
        <f t="shared" si="114"/>
        <v>16666</v>
      </c>
      <c r="DX121" s="66">
        <f t="shared" si="114"/>
        <v>0</v>
      </c>
      <c r="DY121" s="66"/>
      <c r="DZ121" s="66">
        <f>AD121-DA121</f>
        <v>0</v>
      </c>
      <c r="EB121" s="166" t="s">
        <v>428</v>
      </c>
      <c r="EC121" s="173">
        <v>53000000</v>
      </c>
      <c r="ED121" s="173">
        <v>52333334</v>
      </c>
      <c r="EE121" s="174">
        <f t="shared" si="94"/>
        <v>0.98742139622641512</v>
      </c>
    </row>
    <row r="122" spans="1:135" s="59" customFormat="1" ht="21" customHeight="1" thickTop="1" thickBot="1" x14ac:dyDescent="0.35">
      <c r="A122" s="85"/>
      <c r="B122" s="278" t="s">
        <v>77</v>
      </c>
      <c r="C122" s="279"/>
      <c r="D122" s="279"/>
      <c r="E122" s="279"/>
      <c r="F122" s="280"/>
      <c r="G122" s="61">
        <f t="shared" ref="G122:AD122" si="115">SUM(G106:G121)</f>
        <v>3687641610</v>
      </c>
      <c r="H122" s="61">
        <f t="shared" si="115"/>
        <v>444106222</v>
      </c>
      <c r="I122" s="61">
        <f t="shared" si="115"/>
        <v>180000000</v>
      </c>
      <c r="J122" s="61">
        <f t="shared" si="115"/>
        <v>0</v>
      </c>
      <c r="K122" s="61">
        <f t="shared" si="115"/>
        <v>681816144</v>
      </c>
      <c r="L122" s="61">
        <f t="shared" si="115"/>
        <v>0</v>
      </c>
      <c r="M122" s="61">
        <f t="shared" si="115"/>
        <v>208000000</v>
      </c>
      <c r="N122" s="61">
        <f t="shared" si="115"/>
        <v>0</v>
      </c>
      <c r="O122" s="61">
        <f t="shared" si="115"/>
        <v>0</v>
      </c>
      <c r="P122" s="61">
        <f t="shared" si="115"/>
        <v>0</v>
      </c>
      <c r="Q122" s="61">
        <f t="shared" si="115"/>
        <v>0</v>
      </c>
      <c r="R122" s="61">
        <f t="shared" si="115"/>
        <v>0</v>
      </c>
      <c r="S122" s="61">
        <f t="shared" si="115"/>
        <v>0</v>
      </c>
      <c r="T122" s="61">
        <f t="shared" si="115"/>
        <v>0</v>
      </c>
      <c r="U122" s="61">
        <f t="shared" si="115"/>
        <v>0</v>
      </c>
      <c r="V122" s="61">
        <f t="shared" si="115"/>
        <v>0</v>
      </c>
      <c r="W122" s="61">
        <f t="shared" si="115"/>
        <v>0</v>
      </c>
      <c r="X122" s="61">
        <f t="shared" si="115"/>
        <v>100000000</v>
      </c>
      <c r="Y122" s="61">
        <f t="shared" si="115"/>
        <v>32712008</v>
      </c>
      <c r="Z122" s="61">
        <f t="shared" si="115"/>
        <v>114788955</v>
      </c>
      <c r="AA122" s="61">
        <f t="shared" si="115"/>
        <v>1770728185</v>
      </c>
      <c r="AB122" s="61">
        <f t="shared" si="115"/>
        <v>0</v>
      </c>
      <c r="AC122" s="61">
        <f t="shared" si="115"/>
        <v>0</v>
      </c>
      <c r="AD122" s="61">
        <f t="shared" si="115"/>
        <v>155490096</v>
      </c>
      <c r="AE122" s="62">
        <f t="shared" si="81"/>
        <v>0.98417319084323929</v>
      </c>
      <c r="AF122" s="61">
        <f>SUM(AF106:AF121)</f>
        <v>3629278010</v>
      </c>
      <c r="AG122" s="61">
        <f>SUM(AG106:AG121)</f>
        <v>444103222</v>
      </c>
      <c r="AH122" s="61">
        <f>SUM(AH106:AH121)</f>
        <v>180000000</v>
      </c>
      <c r="AI122" s="61">
        <f>SUM(AI106:AI121)</f>
        <v>0</v>
      </c>
      <c r="AJ122" s="61"/>
      <c r="AK122" s="61">
        <f t="shared" ref="AK122:BC122" si="116">SUM(AK106:AK121)</f>
        <v>0</v>
      </c>
      <c r="AL122" s="61">
        <f t="shared" si="116"/>
        <v>208000000</v>
      </c>
      <c r="AM122" s="61">
        <f t="shared" si="116"/>
        <v>0</v>
      </c>
      <c r="AN122" s="61">
        <f t="shared" si="116"/>
        <v>0</v>
      </c>
      <c r="AO122" s="61">
        <f t="shared" si="116"/>
        <v>0</v>
      </c>
      <c r="AP122" s="61">
        <f t="shared" si="116"/>
        <v>0</v>
      </c>
      <c r="AQ122" s="61">
        <f t="shared" si="116"/>
        <v>0</v>
      </c>
      <c r="AR122" s="61">
        <f t="shared" si="116"/>
        <v>0</v>
      </c>
      <c r="AS122" s="61">
        <f t="shared" si="116"/>
        <v>0</v>
      </c>
      <c r="AT122" s="61">
        <f t="shared" si="116"/>
        <v>0</v>
      </c>
      <c r="AU122" s="61">
        <f t="shared" si="116"/>
        <v>0</v>
      </c>
      <c r="AV122" s="61">
        <f t="shared" si="116"/>
        <v>0</v>
      </c>
      <c r="AW122" s="61">
        <f t="shared" si="116"/>
        <v>99046000</v>
      </c>
      <c r="AX122" s="61">
        <f t="shared" si="116"/>
        <v>32712008</v>
      </c>
      <c r="AY122" s="61">
        <f t="shared" si="116"/>
        <v>113788955</v>
      </c>
      <c r="AZ122" s="61">
        <f t="shared" si="116"/>
        <v>1770547588</v>
      </c>
      <c r="BA122" s="61">
        <f t="shared" si="116"/>
        <v>0</v>
      </c>
      <c r="BB122" s="61">
        <f t="shared" si="116"/>
        <v>0</v>
      </c>
      <c r="BC122" s="61">
        <f t="shared" si="116"/>
        <v>99264093</v>
      </c>
      <c r="BD122" s="84">
        <f t="shared" si="57"/>
        <v>1.5826809156760713E-2</v>
      </c>
      <c r="BE122" s="61">
        <f t="shared" ref="BE122:CB122" si="117">SUM(BE106:BE121)</f>
        <v>58363600</v>
      </c>
      <c r="BF122" s="61">
        <f t="shared" si="117"/>
        <v>3000</v>
      </c>
      <c r="BG122" s="61">
        <f t="shared" si="117"/>
        <v>0</v>
      </c>
      <c r="BH122" s="61">
        <f t="shared" si="117"/>
        <v>0</v>
      </c>
      <c r="BI122" s="61">
        <f t="shared" si="117"/>
        <v>0</v>
      </c>
      <c r="BJ122" s="61">
        <f t="shared" si="117"/>
        <v>0</v>
      </c>
      <c r="BK122" s="61">
        <f t="shared" si="117"/>
        <v>0</v>
      </c>
      <c r="BL122" s="61">
        <f t="shared" si="117"/>
        <v>0</v>
      </c>
      <c r="BM122" s="61">
        <f t="shared" si="117"/>
        <v>0</v>
      </c>
      <c r="BN122" s="61">
        <f t="shared" si="117"/>
        <v>0</v>
      </c>
      <c r="BO122" s="61">
        <f t="shared" si="117"/>
        <v>0</v>
      </c>
      <c r="BP122" s="61">
        <f t="shared" si="117"/>
        <v>0</v>
      </c>
      <c r="BQ122" s="61">
        <f t="shared" si="117"/>
        <v>0</v>
      </c>
      <c r="BR122" s="61">
        <f t="shared" si="117"/>
        <v>0</v>
      </c>
      <c r="BS122" s="61">
        <f t="shared" si="117"/>
        <v>0</v>
      </c>
      <c r="BT122" s="61">
        <f t="shared" si="117"/>
        <v>0</v>
      </c>
      <c r="BU122" s="61">
        <f t="shared" si="117"/>
        <v>0</v>
      </c>
      <c r="BV122" s="61">
        <f t="shared" si="117"/>
        <v>954000</v>
      </c>
      <c r="BW122" s="61">
        <f t="shared" si="117"/>
        <v>0</v>
      </c>
      <c r="BX122" s="61">
        <f t="shared" si="117"/>
        <v>1000000</v>
      </c>
      <c r="BY122" s="61">
        <f t="shared" si="117"/>
        <v>180597</v>
      </c>
      <c r="BZ122" s="61">
        <f t="shared" si="117"/>
        <v>0</v>
      </c>
      <c r="CA122" s="61">
        <f t="shared" si="117"/>
        <v>0</v>
      </c>
      <c r="CB122" s="61">
        <f t="shared" si="117"/>
        <v>56226003</v>
      </c>
      <c r="CC122" s="62">
        <f t="shared" si="110"/>
        <v>0.78081371687309931</v>
      </c>
      <c r="CD122" s="61">
        <f t="shared" ref="CD122:DA122" si="118">SUM(CD106:CD121)</f>
        <v>2879361152</v>
      </c>
      <c r="CE122" s="61">
        <f t="shared" si="118"/>
        <v>442882518</v>
      </c>
      <c r="CF122" s="61">
        <f t="shared" si="118"/>
        <v>170103390</v>
      </c>
      <c r="CG122" s="61">
        <f t="shared" si="118"/>
        <v>0</v>
      </c>
      <c r="CH122" s="61">
        <f t="shared" si="118"/>
        <v>108959308</v>
      </c>
      <c r="CI122" s="61">
        <f t="shared" si="118"/>
        <v>0</v>
      </c>
      <c r="CJ122" s="61">
        <f t="shared" si="118"/>
        <v>205876669</v>
      </c>
      <c r="CK122" s="61">
        <f t="shared" si="118"/>
        <v>0</v>
      </c>
      <c r="CL122" s="61">
        <f t="shared" si="118"/>
        <v>0</v>
      </c>
      <c r="CM122" s="61">
        <f t="shared" si="118"/>
        <v>0</v>
      </c>
      <c r="CN122" s="61">
        <f t="shared" si="118"/>
        <v>0</v>
      </c>
      <c r="CO122" s="61">
        <f t="shared" si="118"/>
        <v>0</v>
      </c>
      <c r="CP122" s="61">
        <f t="shared" si="118"/>
        <v>0</v>
      </c>
      <c r="CQ122" s="61">
        <f t="shared" si="118"/>
        <v>0</v>
      </c>
      <c r="CR122" s="61">
        <f t="shared" si="118"/>
        <v>0</v>
      </c>
      <c r="CS122" s="61">
        <f t="shared" si="118"/>
        <v>0</v>
      </c>
      <c r="CT122" s="61">
        <f t="shared" si="118"/>
        <v>0</v>
      </c>
      <c r="CU122" s="61">
        <f t="shared" si="118"/>
        <v>96846000</v>
      </c>
      <c r="CV122" s="61">
        <f t="shared" si="118"/>
        <v>27246666</v>
      </c>
      <c r="CW122" s="61">
        <f t="shared" si="118"/>
        <v>50941940</v>
      </c>
      <c r="CX122" s="61">
        <f t="shared" si="118"/>
        <v>1694221856</v>
      </c>
      <c r="CY122" s="61">
        <f t="shared" si="118"/>
        <v>0</v>
      </c>
      <c r="CZ122" s="61">
        <f t="shared" si="118"/>
        <v>0</v>
      </c>
      <c r="DA122" s="61">
        <f t="shared" si="118"/>
        <v>82282805</v>
      </c>
      <c r="DB122" s="62">
        <f t="shared" si="59"/>
        <v>0.21918628312690069</v>
      </c>
      <c r="DC122" s="61">
        <f t="shared" ref="DC122:DZ122" si="119">SUM(DC106:DC121)</f>
        <v>808280458</v>
      </c>
      <c r="DD122" s="61">
        <f t="shared" si="119"/>
        <v>1223704</v>
      </c>
      <c r="DE122" s="61">
        <f t="shared" si="119"/>
        <v>9896610</v>
      </c>
      <c r="DF122" s="61">
        <f t="shared" si="119"/>
        <v>0</v>
      </c>
      <c r="DG122" s="61">
        <f t="shared" si="119"/>
        <v>572856836</v>
      </c>
      <c r="DH122" s="61">
        <f t="shared" si="119"/>
        <v>0</v>
      </c>
      <c r="DI122" s="61">
        <f t="shared" si="119"/>
        <v>2123331</v>
      </c>
      <c r="DJ122" s="61">
        <f t="shared" si="119"/>
        <v>0</v>
      </c>
      <c r="DK122" s="61">
        <f t="shared" si="119"/>
        <v>0</v>
      </c>
      <c r="DL122" s="61">
        <f t="shared" si="119"/>
        <v>0</v>
      </c>
      <c r="DM122" s="61">
        <f t="shared" si="119"/>
        <v>0</v>
      </c>
      <c r="DN122" s="61">
        <f t="shared" si="119"/>
        <v>0</v>
      </c>
      <c r="DO122" s="61">
        <f t="shared" si="119"/>
        <v>0</v>
      </c>
      <c r="DP122" s="61">
        <f t="shared" si="119"/>
        <v>0</v>
      </c>
      <c r="DQ122" s="61">
        <f t="shared" si="119"/>
        <v>0</v>
      </c>
      <c r="DR122" s="61">
        <f t="shared" si="119"/>
        <v>0</v>
      </c>
      <c r="DS122" s="61">
        <f t="shared" si="119"/>
        <v>0</v>
      </c>
      <c r="DT122" s="61">
        <f t="shared" si="119"/>
        <v>3154000</v>
      </c>
      <c r="DU122" s="61">
        <f t="shared" si="119"/>
        <v>5465342</v>
      </c>
      <c r="DV122" s="61">
        <f t="shared" si="119"/>
        <v>63847015</v>
      </c>
      <c r="DW122" s="61">
        <f t="shared" si="119"/>
        <v>76506329</v>
      </c>
      <c r="DX122" s="61">
        <f t="shared" si="119"/>
        <v>0</v>
      </c>
      <c r="DY122" s="61">
        <f t="shared" si="119"/>
        <v>0</v>
      </c>
      <c r="DZ122" s="61">
        <f t="shared" si="119"/>
        <v>73207291</v>
      </c>
      <c r="EB122" s="166" t="s">
        <v>428</v>
      </c>
      <c r="EC122" s="173">
        <v>3687641610</v>
      </c>
      <c r="ED122" s="173">
        <v>2879361152</v>
      </c>
      <c r="EE122" s="174">
        <f t="shared" si="94"/>
        <v>0.78081371687309931</v>
      </c>
    </row>
    <row r="123" spans="1:135" ht="45.6" hidden="1" customHeight="1" thickTop="1" thickBot="1" x14ac:dyDescent="0.35">
      <c r="A123" s="232" t="s">
        <v>45</v>
      </c>
      <c r="B123" s="83" t="s">
        <v>76</v>
      </c>
      <c r="C123" s="70" t="s">
        <v>75</v>
      </c>
      <c r="D123" s="71" t="s">
        <v>74</v>
      </c>
      <c r="E123" s="68">
        <v>510</v>
      </c>
      <c r="F123" s="67" t="s">
        <v>73</v>
      </c>
      <c r="G123" s="66">
        <f t="shared" ref="G123:G142" si="120">SUM(H123:AD123)</f>
        <v>0</v>
      </c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  <c r="AA123" s="66"/>
      <c r="AB123" s="66"/>
      <c r="AC123" s="66"/>
      <c r="AD123" s="66">
        <f>2500000-2500000</f>
        <v>0</v>
      </c>
      <c r="AE123" s="22" t="e">
        <f t="shared" si="81"/>
        <v>#DIV/0!</v>
      </c>
      <c r="AF123" s="66">
        <f t="shared" ref="AF123:AF142" si="121">SUM(AG123:BC123)</f>
        <v>0</v>
      </c>
      <c r="AG123" s="66"/>
      <c r="AH123" s="66"/>
      <c r="AI123" s="66"/>
      <c r="AJ123" s="66"/>
      <c r="AK123" s="66"/>
      <c r="AL123" s="66"/>
      <c r="AM123" s="66"/>
      <c r="AN123" s="66"/>
      <c r="AO123" s="66"/>
      <c r="AP123" s="66"/>
      <c r="AQ123" s="66"/>
      <c r="AR123" s="66"/>
      <c r="AS123" s="66"/>
      <c r="AT123" s="66"/>
      <c r="AU123" s="66"/>
      <c r="AV123" s="66"/>
      <c r="AW123" s="66"/>
      <c r="AX123" s="66"/>
      <c r="AY123" s="66"/>
      <c r="AZ123" s="66"/>
      <c r="BA123" s="66"/>
      <c r="BB123" s="66"/>
      <c r="BC123" s="66"/>
      <c r="BD123" s="22" t="e">
        <f t="shared" si="57"/>
        <v>#DIV/0!</v>
      </c>
      <c r="BE123" s="66">
        <f t="shared" ref="BE123:BE142" si="122">SUM(BF123:CB123)</f>
        <v>0</v>
      </c>
      <c r="BF123" s="66">
        <f t="shared" ref="BF123:BH131" si="123">H123-AG123</f>
        <v>0</v>
      </c>
      <c r="BG123" s="66">
        <f t="shared" si="123"/>
        <v>0</v>
      </c>
      <c r="BH123" s="66"/>
      <c r="BI123" s="66">
        <f t="shared" ref="BI123:BI142" si="124">+K123-AJ123</f>
        <v>0</v>
      </c>
      <c r="BJ123" s="66">
        <f t="shared" ref="BJ123:BY131" si="125">L123-AK123</f>
        <v>0</v>
      </c>
      <c r="BK123" s="66">
        <f t="shared" si="125"/>
        <v>0</v>
      </c>
      <c r="BL123" s="66">
        <f t="shared" si="125"/>
        <v>0</v>
      </c>
      <c r="BM123" s="66">
        <f t="shared" si="125"/>
        <v>0</v>
      </c>
      <c r="BN123" s="66">
        <f t="shared" si="125"/>
        <v>0</v>
      </c>
      <c r="BO123" s="66">
        <f t="shared" si="125"/>
        <v>0</v>
      </c>
      <c r="BP123" s="66">
        <f t="shared" si="125"/>
        <v>0</v>
      </c>
      <c r="BQ123" s="66">
        <f t="shared" si="125"/>
        <v>0</v>
      </c>
      <c r="BR123" s="66">
        <f t="shared" si="125"/>
        <v>0</v>
      </c>
      <c r="BS123" s="66">
        <f t="shared" si="125"/>
        <v>0</v>
      </c>
      <c r="BT123" s="66">
        <f t="shared" si="125"/>
        <v>0</v>
      </c>
      <c r="BU123" s="66">
        <f t="shared" si="125"/>
        <v>0</v>
      </c>
      <c r="BV123" s="66">
        <f t="shared" si="125"/>
        <v>0</v>
      </c>
      <c r="BW123" s="66">
        <f t="shared" si="125"/>
        <v>0</v>
      </c>
      <c r="BX123" s="66">
        <f t="shared" si="125"/>
        <v>0</v>
      </c>
      <c r="BY123" s="66">
        <f t="shared" si="125"/>
        <v>0</v>
      </c>
      <c r="BZ123" s="66">
        <f t="shared" ref="BZ123:BZ131" si="126">AB123-BA123</f>
        <v>0</v>
      </c>
      <c r="CA123" s="66"/>
      <c r="CB123" s="66">
        <f t="shared" ref="CB123:CB131" si="127">AD123-BC123</f>
        <v>0</v>
      </c>
      <c r="CC123" s="22" t="e">
        <f t="shared" si="110"/>
        <v>#DIV/0!</v>
      </c>
      <c r="CD123" s="66">
        <f t="shared" ref="CD123:CD142" si="128">SUM(CE123:DA123)</f>
        <v>0</v>
      </c>
      <c r="CE123" s="66"/>
      <c r="CF123" s="66"/>
      <c r="CG123" s="66"/>
      <c r="CH123" s="66"/>
      <c r="CI123" s="66"/>
      <c r="CJ123" s="66"/>
      <c r="CK123" s="66"/>
      <c r="CL123" s="66"/>
      <c r="CM123" s="66"/>
      <c r="CN123" s="66"/>
      <c r="CO123" s="66"/>
      <c r="CP123" s="66"/>
      <c r="CQ123" s="66"/>
      <c r="CR123" s="66"/>
      <c r="CS123" s="66"/>
      <c r="CT123" s="66"/>
      <c r="CU123" s="66"/>
      <c r="CV123" s="66"/>
      <c r="CW123" s="66"/>
      <c r="CX123" s="66"/>
      <c r="CY123" s="66"/>
      <c r="CZ123" s="66"/>
      <c r="DA123" s="66"/>
      <c r="DB123" s="22" t="e">
        <f t="shared" si="59"/>
        <v>#DIV/0!</v>
      </c>
      <c r="DC123" s="66">
        <f t="shared" ref="DC123:DC142" si="129">SUM(DD123:DZ123)</f>
        <v>0</v>
      </c>
      <c r="DD123" s="66">
        <f t="shared" ref="DD123:DF131" si="130">H123-CE123</f>
        <v>0</v>
      </c>
      <c r="DE123" s="66">
        <f t="shared" si="130"/>
        <v>0</v>
      </c>
      <c r="DF123" s="66"/>
      <c r="DG123" s="66">
        <f t="shared" ref="DG123:DV138" si="131">K123-CH123</f>
        <v>0</v>
      </c>
      <c r="DH123" s="66">
        <f t="shared" si="131"/>
        <v>0</v>
      </c>
      <c r="DI123" s="66">
        <f t="shared" si="131"/>
        <v>0</v>
      </c>
      <c r="DJ123" s="66">
        <f t="shared" si="131"/>
        <v>0</v>
      </c>
      <c r="DK123" s="66">
        <f t="shared" si="131"/>
        <v>0</v>
      </c>
      <c r="DL123" s="66">
        <f t="shared" si="131"/>
        <v>0</v>
      </c>
      <c r="DM123" s="66">
        <f t="shared" si="131"/>
        <v>0</v>
      </c>
      <c r="DN123" s="66">
        <f t="shared" si="131"/>
        <v>0</v>
      </c>
      <c r="DO123" s="66">
        <f t="shared" si="131"/>
        <v>0</v>
      </c>
      <c r="DP123" s="66">
        <f t="shared" si="131"/>
        <v>0</v>
      </c>
      <c r="DQ123" s="66">
        <f t="shared" si="131"/>
        <v>0</v>
      </c>
      <c r="DR123" s="66">
        <f t="shared" si="131"/>
        <v>0</v>
      </c>
      <c r="DS123" s="66">
        <f t="shared" si="131"/>
        <v>0</v>
      </c>
      <c r="DT123" s="66">
        <f t="shared" si="131"/>
        <v>0</v>
      </c>
      <c r="DU123" s="66">
        <f t="shared" si="131"/>
        <v>0</v>
      </c>
      <c r="DV123" s="66">
        <f t="shared" si="131"/>
        <v>0</v>
      </c>
      <c r="DW123" s="66">
        <f t="shared" ref="DW123:DX131" si="132">AA123-CX123</f>
        <v>0</v>
      </c>
      <c r="DX123" s="66">
        <f t="shared" si="132"/>
        <v>0</v>
      </c>
      <c r="DY123" s="66"/>
      <c r="DZ123" s="66">
        <f t="shared" ref="DZ123:DZ131" si="133">AD123-DA123</f>
        <v>0</v>
      </c>
      <c r="EC123" s="173">
        <v>0</v>
      </c>
      <c r="ED123" s="173">
        <v>0</v>
      </c>
      <c r="EE123" s="174" t="e">
        <f t="shared" si="94"/>
        <v>#DIV/0!</v>
      </c>
    </row>
    <row r="124" spans="1:135" ht="26.4" hidden="1" customHeight="1" thickTop="1" x14ac:dyDescent="0.3">
      <c r="A124" s="207"/>
      <c r="B124" s="233" t="s">
        <v>72</v>
      </c>
      <c r="C124" s="70" t="s">
        <v>71</v>
      </c>
      <c r="D124" s="71" t="s">
        <v>70</v>
      </c>
      <c r="E124" s="68">
        <v>111</v>
      </c>
      <c r="F124" s="67" t="s">
        <v>21</v>
      </c>
      <c r="G124" s="66">
        <f t="shared" si="120"/>
        <v>11469851222</v>
      </c>
      <c r="H124" s="66"/>
      <c r="I124" s="66"/>
      <c r="J124" s="66"/>
      <c r="K124" s="66"/>
      <c r="L124" s="66">
        <v>10500000000</v>
      </c>
      <c r="M124" s="66"/>
      <c r="N124" s="66"/>
      <c r="O124" s="66">
        <f>130000000+180000000-126444390</f>
        <v>183555610</v>
      </c>
      <c r="P124" s="66">
        <f>266000000+30000000-41930300-220000000</f>
        <v>34069700</v>
      </c>
      <c r="Q124" s="66">
        <f>450000000+168723421-45000000-341800300</f>
        <v>231923121</v>
      </c>
      <c r="R124" s="66">
        <f>370000000+122156723-8786495</f>
        <v>483370228</v>
      </c>
      <c r="S124" s="66"/>
      <c r="T124" s="66">
        <f>4772680</f>
        <v>4772680</v>
      </c>
      <c r="U124" s="66"/>
      <c r="V124" s="66">
        <f>60000000+4273051-32113168</f>
        <v>32159883</v>
      </c>
      <c r="W124" s="66"/>
      <c r="X124" s="66"/>
      <c r="Y124" s="66"/>
      <c r="Z124" s="66"/>
      <c r="AA124" s="66"/>
      <c r="AB124" s="66"/>
      <c r="AC124" s="66"/>
      <c r="AD124" s="66"/>
      <c r="AE124" s="22">
        <f t="shared" si="81"/>
        <v>7.6402979344591185E-2</v>
      </c>
      <c r="AF124" s="66">
        <f t="shared" si="121"/>
        <v>876330806</v>
      </c>
      <c r="AG124" s="66"/>
      <c r="AH124" s="66"/>
      <c r="AI124" s="66"/>
      <c r="AJ124" s="66"/>
      <c r="AK124" s="66"/>
      <c r="AL124" s="66"/>
      <c r="AM124" s="66"/>
      <c r="AN124" s="66">
        <f>+'[7]AGOSTO 2019'!$P$18</f>
        <v>151775814</v>
      </c>
      <c r="AO124" s="66">
        <f>+'[10]ABRIL 2019'!$Q$18</f>
        <v>34069700</v>
      </c>
      <c r="AP124" s="66">
        <f>+'[1]OCTUBRE 2019'!$S$18</f>
        <v>174955181</v>
      </c>
      <c r="AQ124" s="66">
        <f>+'[7]AGOSTO 2019'!$S$18</f>
        <v>483370228</v>
      </c>
      <c r="AR124" s="66"/>
      <c r="AS124" s="66"/>
      <c r="AT124" s="66"/>
      <c r="AU124" s="66">
        <f>+'[11]JULIO 2019'!$W$18</f>
        <v>32159883</v>
      </c>
      <c r="AV124" s="66"/>
      <c r="AW124" s="66"/>
      <c r="AX124" s="66"/>
      <c r="AY124" s="66"/>
      <c r="AZ124" s="66"/>
      <c r="BA124" s="66"/>
      <c r="BB124" s="66"/>
      <c r="BC124" s="66"/>
      <c r="BD124" s="22">
        <f t="shared" si="57"/>
        <v>0.92359702065540883</v>
      </c>
      <c r="BE124" s="66">
        <f t="shared" si="122"/>
        <v>10593520416</v>
      </c>
      <c r="BF124" s="66">
        <f t="shared" si="123"/>
        <v>0</v>
      </c>
      <c r="BG124" s="66">
        <f t="shared" si="123"/>
        <v>0</v>
      </c>
      <c r="BH124" s="66"/>
      <c r="BI124" s="66">
        <f t="shared" si="124"/>
        <v>0</v>
      </c>
      <c r="BJ124" s="66">
        <f t="shared" si="125"/>
        <v>10500000000</v>
      </c>
      <c r="BK124" s="66">
        <f t="shared" si="125"/>
        <v>0</v>
      </c>
      <c r="BL124" s="66">
        <f t="shared" si="125"/>
        <v>0</v>
      </c>
      <c r="BM124" s="66">
        <f t="shared" si="125"/>
        <v>31779796</v>
      </c>
      <c r="BN124" s="66">
        <f t="shared" si="125"/>
        <v>0</v>
      </c>
      <c r="BO124" s="66">
        <f t="shared" si="125"/>
        <v>56967940</v>
      </c>
      <c r="BP124" s="66">
        <f t="shared" si="125"/>
        <v>0</v>
      </c>
      <c r="BQ124" s="66">
        <f t="shared" si="125"/>
        <v>0</v>
      </c>
      <c r="BR124" s="66">
        <f t="shared" si="125"/>
        <v>4772680</v>
      </c>
      <c r="BS124" s="66">
        <f t="shared" si="125"/>
        <v>0</v>
      </c>
      <c r="BT124" s="66">
        <f t="shared" si="125"/>
        <v>0</v>
      </c>
      <c r="BU124" s="66">
        <f t="shared" si="125"/>
        <v>0</v>
      </c>
      <c r="BV124" s="66">
        <f t="shared" si="125"/>
        <v>0</v>
      </c>
      <c r="BW124" s="66">
        <f t="shared" si="125"/>
        <v>0</v>
      </c>
      <c r="BX124" s="66">
        <f t="shared" si="125"/>
        <v>0</v>
      </c>
      <c r="BY124" s="66">
        <f t="shared" si="125"/>
        <v>0</v>
      </c>
      <c r="BZ124" s="66">
        <f t="shared" si="126"/>
        <v>0</v>
      </c>
      <c r="CA124" s="66"/>
      <c r="CB124" s="66">
        <f t="shared" si="127"/>
        <v>0</v>
      </c>
      <c r="CC124" s="22">
        <f t="shared" si="110"/>
        <v>7.0301306389517176E-2</v>
      </c>
      <c r="CD124" s="66">
        <f t="shared" si="128"/>
        <v>806345525</v>
      </c>
      <c r="CE124" s="66"/>
      <c r="CF124" s="66"/>
      <c r="CG124" s="66"/>
      <c r="CH124" s="66"/>
      <c r="CI124" s="66"/>
      <c r="CJ124" s="66"/>
      <c r="CK124" s="66"/>
      <c r="CL124" s="66">
        <f>+'[11]JULIO 2019'!$H$19+'[11]JULIO 2019'!$H$21+'[11]JULIO 2019'!$H$23+'[11]JULIO 2019'!$H$31+'[2]SEPTIEMBRE 2019'!$H$41</f>
        <v>151775814</v>
      </c>
      <c r="CM124" s="66">
        <f>+'[6]MAYO 2019'!$H$25</f>
        <v>34069700</v>
      </c>
      <c r="CN124" s="66">
        <f>+'[6]MAYO 2019'!$H$29</f>
        <v>104969900</v>
      </c>
      <c r="CO124" s="66">
        <f>+'[11]JULIO 2019'!$H$27+'[11]JULIO 2019'!$H$35</f>
        <v>483370228</v>
      </c>
      <c r="CP124" s="66"/>
      <c r="CQ124" s="66"/>
      <c r="CR124" s="66"/>
      <c r="CS124" s="66">
        <f>+'[11]JULIO 2019'!$H$39</f>
        <v>32159883</v>
      </c>
      <c r="CT124" s="66"/>
      <c r="CU124" s="66"/>
      <c r="CV124" s="66"/>
      <c r="CW124" s="66"/>
      <c r="CX124" s="66"/>
      <c r="CY124" s="66"/>
      <c r="CZ124" s="66"/>
      <c r="DA124" s="66"/>
      <c r="DB124" s="22">
        <f t="shared" si="59"/>
        <v>0.92969869361048285</v>
      </c>
      <c r="DC124" s="66">
        <f t="shared" si="129"/>
        <v>10663505697</v>
      </c>
      <c r="DD124" s="66">
        <f t="shared" si="130"/>
        <v>0</v>
      </c>
      <c r="DE124" s="66">
        <f t="shared" si="130"/>
        <v>0</v>
      </c>
      <c r="DF124" s="66"/>
      <c r="DG124" s="66">
        <f t="shared" si="131"/>
        <v>0</v>
      </c>
      <c r="DH124" s="66">
        <f t="shared" si="131"/>
        <v>10500000000</v>
      </c>
      <c r="DI124" s="66">
        <f t="shared" si="131"/>
        <v>0</v>
      </c>
      <c r="DJ124" s="66">
        <f t="shared" si="131"/>
        <v>0</v>
      </c>
      <c r="DK124" s="66">
        <f t="shared" si="131"/>
        <v>31779796</v>
      </c>
      <c r="DL124" s="66">
        <f t="shared" si="131"/>
        <v>0</v>
      </c>
      <c r="DM124" s="66">
        <f t="shared" si="131"/>
        <v>126953221</v>
      </c>
      <c r="DN124" s="66">
        <f t="shared" si="131"/>
        <v>0</v>
      </c>
      <c r="DO124" s="66">
        <f t="shared" si="131"/>
        <v>0</v>
      </c>
      <c r="DP124" s="66">
        <f t="shared" si="131"/>
        <v>4772680</v>
      </c>
      <c r="DQ124" s="66">
        <f t="shared" si="131"/>
        <v>0</v>
      </c>
      <c r="DR124" s="66">
        <f t="shared" si="131"/>
        <v>0</v>
      </c>
      <c r="DS124" s="66">
        <f t="shared" si="131"/>
        <v>0</v>
      </c>
      <c r="DT124" s="66">
        <f t="shared" si="131"/>
        <v>0</v>
      </c>
      <c r="DU124" s="66">
        <f t="shared" si="131"/>
        <v>0</v>
      </c>
      <c r="DV124" s="66">
        <f t="shared" si="131"/>
        <v>0</v>
      </c>
      <c r="DW124" s="66">
        <f t="shared" si="132"/>
        <v>0</v>
      </c>
      <c r="DX124" s="66">
        <f t="shared" si="132"/>
        <v>0</v>
      </c>
      <c r="DY124" s="66"/>
      <c r="DZ124" s="66">
        <f t="shared" si="133"/>
        <v>0</v>
      </c>
      <c r="EB124" s="76"/>
      <c r="EC124" s="173">
        <v>11469851222</v>
      </c>
      <c r="ED124" s="173">
        <v>806345525</v>
      </c>
      <c r="EE124" s="174">
        <f t="shared" si="94"/>
        <v>7.0301306389517176E-2</v>
      </c>
    </row>
    <row r="125" spans="1:135" s="76" customFormat="1" ht="34.799999999999997" hidden="1" customHeight="1" x14ac:dyDescent="0.3">
      <c r="A125" s="207"/>
      <c r="B125" s="220"/>
      <c r="C125" s="79" t="s">
        <v>69</v>
      </c>
      <c r="D125" s="71" t="s">
        <v>68</v>
      </c>
      <c r="E125" s="78">
        <v>111</v>
      </c>
      <c r="F125" s="67" t="s">
        <v>67</v>
      </c>
      <c r="G125" s="66">
        <f t="shared" si="120"/>
        <v>1573951198</v>
      </c>
      <c r="H125" s="66"/>
      <c r="I125" s="66"/>
      <c r="J125" s="66"/>
      <c r="K125" s="66"/>
      <c r="L125" s="66">
        <f>1500000000-1500000000</f>
        <v>0</v>
      </c>
      <c r="M125" s="66"/>
      <c r="N125" s="66"/>
      <c r="O125" s="66">
        <f>147239396+120000000-104225677+126444390</f>
        <v>289458109</v>
      </c>
      <c r="P125" s="66">
        <f>5000000+135000000+41930300</f>
        <v>181930300</v>
      </c>
      <c r="Q125" s="66">
        <f>57000000</f>
        <v>57000000</v>
      </c>
      <c r="R125" s="66">
        <f>78000000</f>
        <v>78000000</v>
      </c>
      <c r="S125" s="66"/>
      <c r="T125" s="66">
        <v>66274562</v>
      </c>
      <c r="U125" s="66">
        <v>5000000</v>
      </c>
      <c r="V125" s="66">
        <f>17800000+100017010-20000000-74817010</f>
        <v>23000000</v>
      </c>
      <c r="W125" s="66">
        <v>20000000</v>
      </c>
      <c r="X125" s="66"/>
      <c r="Y125" s="66">
        <f>620237929-25000000</f>
        <v>595237929</v>
      </c>
      <c r="Z125" s="66"/>
      <c r="AA125" s="66"/>
      <c r="AB125" s="66"/>
      <c r="AC125" s="66">
        <f>123550000+296638+18000000-18000000</f>
        <v>123846638</v>
      </c>
      <c r="AD125" s="66">
        <f>70000000+16203660+15000000+33000000</f>
        <v>134203660</v>
      </c>
      <c r="AE125" s="77">
        <f t="shared" si="81"/>
        <v>0.76921061055668127</v>
      </c>
      <c r="AF125" s="66">
        <f t="shared" si="121"/>
        <v>1210699962</v>
      </c>
      <c r="AG125" s="75"/>
      <c r="AH125" s="75"/>
      <c r="AI125" s="75"/>
      <c r="AJ125" s="75"/>
      <c r="AK125" s="75"/>
      <c r="AL125" s="75"/>
      <c r="AM125" s="75"/>
      <c r="AN125" s="75">
        <f>+'[1]OCTUBRE 2019'!$Q$49</f>
        <v>263832905</v>
      </c>
      <c r="AO125" s="75">
        <f>+'[7]AGOSTO 2019'!$Q$49</f>
        <v>99011214</v>
      </c>
      <c r="AP125" s="75">
        <f>+'[7]AGOSTO 2019'!$R$49</f>
        <v>56474170</v>
      </c>
      <c r="AQ125" s="75">
        <f>+'[7]AGOSTO 2019'!$S$49</f>
        <v>54907320</v>
      </c>
      <c r="AR125" s="75"/>
      <c r="AS125" s="75"/>
      <c r="AT125" s="75">
        <f>+'[8]FEBRERO 2019'!$V$26</f>
        <v>3567404</v>
      </c>
      <c r="AU125" s="75">
        <f>+'[10]ABRIL 2019'!$W$31</f>
        <v>23000000</v>
      </c>
      <c r="AV125" s="75">
        <f>+'[10]ABRIL 2019'!$X$31</f>
        <v>20000000</v>
      </c>
      <c r="AW125" s="75"/>
      <c r="AX125" s="75">
        <f>+'[1]OCTUBRE 2019'!$AA$49</f>
        <v>571724458</v>
      </c>
      <c r="AY125" s="75"/>
      <c r="AZ125" s="75"/>
      <c r="BA125" s="75"/>
      <c r="BB125" s="75">
        <f>+'[11]JULIO 2019'!$AE$45</f>
        <v>34000000</v>
      </c>
      <c r="BC125" s="75">
        <f>+'[1]OCTUBRE 2019'!$AG$49</f>
        <v>84182491</v>
      </c>
      <c r="BD125" s="77">
        <f t="shared" si="57"/>
        <v>0.23078938944331873</v>
      </c>
      <c r="BE125" s="66">
        <f t="shared" si="122"/>
        <v>363251236</v>
      </c>
      <c r="BF125" s="66">
        <f t="shared" si="123"/>
        <v>0</v>
      </c>
      <c r="BG125" s="66">
        <f t="shared" si="123"/>
        <v>0</v>
      </c>
      <c r="BH125" s="66"/>
      <c r="BI125" s="66">
        <f t="shared" si="124"/>
        <v>0</v>
      </c>
      <c r="BJ125" s="66">
        <f t="shared" si="125"/>
        <v>0</v>
      </c>
      <c r="BK125" s="66">
        <f t="shared" si="125"/>
        <v>0</v>
      </c>
      <c r="BL125" s="66">
        <f t="shared" si="125"/>
        <v>0</v>
      </c>
      <c r="BM125" s="66">
        <f t="shared" si="125"/>
        <v>25625204</v>
      </c>
      <c r="BN125" s="66">
        <f t="shared" si="125"/>
        <v>82919086</v>
      </c>
      <c r="BO125" s="66">
        <f t="shared" si="125"/>
        <v>525830</v>
      </c>
      <c r="BP125" s="66">
        <f t="shared" si="125"/>
        <v>23092680</v>
      </c>
      <c r="BQ125" s="66">
        <f t="shared" si="125"/>
        <v>0</v>
      </c>
      <c r="BR125" s="66">
        <f t="shared" si="125"/>
        <v>66274562</v>
      </c>
      <c r="BS125" s="66">
        <f t="shared" si="125"/>
        <v>1432596</v>
      </c>
      <c r="BT125" s="66">
        <f t="shared" si="125"/>
        <v>0</v>
      </c>
      <c r="BU125" s="66">
        <f t="shared" si="125"/>
        <v>0</v>
      </c>
      <c r="BV125" s="66">
        <f t="shared" si="125"/>
        <v>0</v>
      </c>
      <c r="BW125" s="66">
        <f t="shared" si="125"/>
        <v>23513471</v>
      </c>
      <c r="BX125" s="66">
        <f t="shared" si="125"/>
        <v>0</v>
      </c>
      <c r="BY125" s="66">
        <f t="shared" si="125"/>
        <v>0</v>
      </c>
      <c r="BZ125" s="66">
        <f t="shared" si="126"/>
        <v>0</v>
      </c>
      <c r="CA125" s="66">
        <f>AC125-BB125</f>
        <v>89846638</v>
      </c>
      <c r="CB125" s="66">
        <f t="shared" si="127"/>
        <v>50021169</v>
      </c>
      <c r="CC125" s="77">
        <f t="shared" si="110"/>
        <v>0.67245130811228626</v>
      </c>
      <c r="CD125" s="66">
        <f t="shared" si="128"/>
        <v>1058405542</v>
      </c>
      <c r="CE125" s="75"/>
      <c r="CF125" s="75"/>
      <c r="CG125" s="75"/>
      <c r="CH125" s="75"/>
      <c r="CI125" s="75"/>
      <c r="CJ125" s="75"/>
      <c r="CK125" s="75"/>
      <c r="CL125" s="66">
        <f>+'[1]OCTUBRE 2019'!$H$56+'[1]OCTUBRE 2019'!$H$66+'[1]OCTUBRE 2019'!$H$73+'[1]OCTUBRE 2019'!$H$98+'[1]OCTUBRE 2019'!$H$105+'[1]OCTUBRE 2019'!$H$112+'[1]OCTUBRE 2019'!$H$121</f>
        <v>250127883</v>
      </c>
      <c r="CM125" s="66">
        <f>+'[7]AGOSTO 2019'!$H$58+'[7]AGOSTO 2019'!$H$67+'[7]AGOSTO 2019'!$H$81</f>
        <v>99011214</v>
      </c>
      <c r="CN125" s="75">
        <f>+'[1]OCTUBRE 2019'!$H$62</f>
        <v>31474170</v>
      </c>
      <c r="CO125" s="75">
        <f>+'[11]JULIO 2019'!$H$58</f>
        <v>54907320</v>
      </c>
      <c r="CP125" s="75"/>
      <c r="CQ125" s="75"/>
      <c r="CR125" s="75">
        <f>+'[8]FEBRERO 2019'!$H$29</f>
        <v>3567404</v>
      </c>
      <c r="CS125" s="75"/>
      <c r="CT125" s="75">
        <f>+'[7]AGOSTO 2019'!$H$76</f>
        <v>19955896</v>
      </c>
      <c r="CU125" s="75"/>
      <c r="CV125" s="75">
        <f>+'[1]OCTUBRE 2019'!$H$71+'[1]OCTUBRE 2019'!$H$75+'[1]OCTUBRE 2019'!$H$90+'[1]OCTUBRE 2019'!$H$95+'[1]OCTUBRE 2019'!$H$119</f>
        <v>533603631</v>
      </c>
      <c r="CW125" s="75"/>
      <c r="CX125" s="75"/>
      <c r="CY125" s="75"/>
      <c r="CZ125" s="75"/>
      <c r="DA125" s="75">
        <f>+'[1]OCTUBRE 2019'!$H$50+'[1]OCTUBRE 2019'!$H$82+'[1]OCTUBRE 2019'!$H$102+'[1]OCTUBRE 2019'!$H$108+'[1]OCTUBRE 2019'!$H$115</f>
        <v>65758024</v>
      </c>
      <c r="DB125" s="77">
        <f t="shared" si="59"/>
        <v>0.32754869188771374</v>
      </c>
      <c r="DC125" s="66">
        <f t="shared" si="129"/>
        <v>515545656</v>
      </c>
      <c r="DD125" s="66">
        <f t="shared" si="130"/>
        <v>0</v>
      </c>
      <c r="DE125" s="66">
        <f t="shared" si="130"/>
        <v>0</v>
      </c>
      <c r="DF125" s="66">
        <f t="shared" si="130"/>
        <v>0</v>
      </c>
      <c r="DG125" s="66">
        <f t="shared" si="131"/>
        <v>0</v>
      </c>
      <c r="DH125" s="66">
        <f t="shared" si="131"/>
        <v>0</v>
      </c>
      <c r="DI125" s="66">
        <f t="shared" si="131"/>
        <v>0</v>
      </c>
      <c r="DJ125" s="66">
        <f t="shared" si="131"/>
        <v>0</v>
      </c>
      <c r="DK125" s="66">
        <f t="shared" si="131"/>
        <v>39330226</v>
      </c>
      <c r="DL125" s="66">
        <f t="shared" si="131"/>
        <v>82919086</v>
      </c>
      <c r="DM125" s="66">
        <f t="shared" si="131"/>
        <v>25525830</v>
      </c>
      <c r="DN125" s="66">
        <f t="shared" si="131"/>
        <v>23092680</v>
      </c>
      <c r="DO125" s="66">
        <f t="shared" si="131"/>
        <v>0</v>
      </c>
      <c r="DP125" s="66">
        <f t="shared" si="131"/>
        <v>66274562</v>
      </c>
      <c r="DQ125" s="66">
        <f t="shared" si="131"/>
        <v>1432596</v>
      </c>
      <c r="DR125" s="66">
        <f t="shared" si="131"/>
        <v>23000000</v>
      </c>
      <c r="DS125" s="66">
        <f t="shared" si="131"/>
        <v>44104</v>
      </c>
      <c r="DT125" s="66">
        <f t="shared" si="131"/>
        <v>0</v>
      </c>
      <c r="DU125" s="66">
        <f t="shared" si="131"/>
        <v>61634298</v>
      </c>
      <c r="DV125" s="66">
        <f t="shared" si="131"/>
        <v>0</v>
      </c>
      <c r="DW125" s="66">
        <f t="shared" si="132"/>
        <v>0</v>
      </c>
      <c r="DX125" s="66">
        <f t="shared" si="132"/>
        <v>0</v>
      </c>
      <c r="DY125" s="66">
        <f>AC125-CZ125</f>
        <v>123846638</v>
      </c>
      <c r="DZ125" s="66">
        <f t="shared" si="133"/>
        <v>68445636</v>
      </c>
      <c r="EB125"/>
      <c r="EC125" s="173">
        <v>1573951198</v>
      </c>
      <c r="ED125" s="173">
        <v>1058405542</v>
      </c>
      <c r="EE125" s="174">
        <f t="shared" si="94"/>
        <v>0.67245130811228626</v>
      </c>
    </row>
    <row r="126" spans="1:135" ht="33" hidden="1" customHeight="1" x14ac:dyDescent="0.3">
      <c r="A126" s="207"/>
      <c r="B126" s="193" t="s">
        <v>66</v>
      </c>
      <c r="C126" s="70" t="s">
        <v>65</v>
      </c>
      <c r="D126" s="71" t="s">
        <v>64</v>
      </c>
      <c r="E126" s="68">
        <v>211</v>
      </c>
      <c r="F126" s="67" t="s">
        <v>63</v>
      </c>
      <c r="G126" s="66">
        <f t="shared" si="120"/>
        <v>1254826690</v>
      </c>
      <c r="H126" s="66"/>
      <c r="I126" s="66"/>
      <c r="J126" s="66"/>
      <c r="K126" s="66"/>
      <c r="L126" s="66"/>
      <c r="M126" s="66"/>
      <c r="N126" s="66"/>
      <c r="O126" s="66">
        <f>300000000+340559960</f>
        <v>640559960</v>
      </c>
      <c r="P126" s="66">
        <f>159000000+80000000</f>
        <v>239000000</v>
      </c>
      <c r="Q126" s="66">
        <f>115000000</f>
        <v>115000000</v>
      </c>
      <c r="R126" s="66">
        <f>75000000-75000000</f>
        <v>0</v>
      </c>
      <c r="S126" s="66"/>
      <c r="T126" s="66">
        <v>45000000</v>
      </c>
      <c r="U126" s="66">
        <v>30905320</v>
      </c>
      <c r="V126" s="66">
        <f>45200000-45200000</f>
        <v>0</v>
      </c>
      <c r="W126" s="66"/>
      <c r="X126" s="66"/>
      <c r="Y126" s="66"/>
      <c r="Z126" s="66"/>
      <c r="AA126" s="66"/>
      <c r="AB126" s="66"/>
      <c r="AC126" s="66">
        <f>14405126+45956284</f>
        <v>60361410</v>
      </c>
      <c r="AD126" s="66">
        <f>93000000+22000000+9000000</f>
        <v>124000000</v>
      </c>
      <c r="AE126" s="22">
        <f t="shared" si="81"/>
        <v>0.77378856916089345</v>
      </c>
      <c r="AF126" s="66">
        <f t="shared" si="121"/>
        <v>970970549</v>
      </c>
      <c r="AG126" s="66"/>
      <c r="AH126" s="66"/>
      <c r="AI126" s="66"/>
      <c r="AJ126" s="66"/>
      <c r="AK126" s="66"/>
      <c r="AL126" s="66"/>
      <c r="AM126" s="66"/>
      <c r="AN126" s="66">
        <f>+'[1]OCTUBRE 2019'!$Q$137</f>
        <v>574313638</v>
      </c>
      <c r="AO126" s="66">
        <f>+'[7]AGOSTO 2019'!$Q$110</f>
        <v>239000000</v>
      </c>
      <c r="AP126" s="66"/>
      <c r="AQ126" s="66"/>
      <c r="AR126" s="66"/>
      <c r="AS126" s="66">
        <v>45000000</v>
      </c>
      <c r="AT126" s="66"/>
      <c r="AU126" s="66"/>
      <c r="AV126" s="66"/>
      <c r="AW126" s="66"/>
      <c r="AX126" s="66"/>
      <c r="AY126" s="66"/>
      <c r="AZ126" s="66"/>
      <c r="BA126" s="66"/>
      <c r="BB126" s="66">
        <f>+'[7]AGOSTO 2019'!$AE$110</f>
        <v>45956280</v>
      </c>
      <c r="BC126" s="66">
        <f>+'[1]OCTUBRE 2019'!$AG$137</f>
        <v>66700631</v>
      </c>
      <c r="BD126" s="22">
        <f t="shared" si="57"/>
        <v>0.22621143083910655</v>
      </c>
      <c r="BE126" s="66">
        <f t="shared" si="122"/>
        <v>283856141</v>
      </c>
      <c r="BF126" s="66">
        <f t="shared" si="123"/>
        <v>0</v>
      </c>
      <c r="BG126" s="66">
        <f t="shared" si="123"/>
        <v>0</v>
      </c>
      <c r="BH126" s="66">
        <f t="shared" si="123"/>
        <v>0</v>
      </c>
      <c r="BI126" s="66">
        <f t="shared" si="124"/>
        <v>0</v>
      </c>
      <c r="BJ126" s="66">
        <f t="shared" si="125"/>
        <v>0</v>
      </c>
      <c r="BK126" s="66">
        <f t="shared" si="125"/>
        <v>0</v>
      </c>
      <c r="BL126" s="66">
        <f t="shared" si="125"/>
        <v>0</v>
      </c>
      <c r="BM126" s="66">
        <f t="shared" si="125"/>
        <v>66246322</v>
      </c>
      <c r="BN126" s="66">
        <f t="shared" si="125"/>
        <v>0</v>
      </c>
      <c r="BO126" s="66">
        <f t="shared" si="125"/>
        <v>115000000</v>
      </c>
      <c r="BP126" s="66">
        <f t="shared" si="125"/>
        <v>0</v>
      </c>
      <c r="BQ126" s="66">
        <f t="shared" si="125"/>
        <v>0</v>
      </c>
      <c r="BR126" s="66">
        <f t="shared" si="125"/>
        <v>0</v>
      </c>
      <c r="BS126" s="66">
        <f t="shared" si="125"/>
        <v>30905320</v>
      </c>
      <c r="BT126" s="66">
        <f t="shared" si="125"/>
        <v>0</v>
      </c>
      <c r="BU126" s="66">
        <f t="shared" si="125"/>
        <v>0</v>
      </c>
      <c r="BV126" s="66">
        <f t="shared" si="125"/>
        <v>0</v>
      </c>
      <c r="BW126" s="66">
        <f t="shared" si="125"/>
        <v>0</v>
      </c>
      <c r="BX126" s="66">
        <f t="shared" si="125"/>
        <v>0</v>
      </c>
      <c r="BY126" s="66">
        <f t="shared" si="125"/>
        <v>0</v>
      </c>
      <c r="BZ126" s="66">
        <f t="shared" si="126"/>
        <v>0</v>
      </c>
      <c r="CA126" s="66">
        <f>AC126-BB126</f>
        <v>14405130</v>
      </c>
      <c r="CB126" s="66">
        <f t="shared" si="127"/>
        <v>57299369</v>
      </c>
      <c r="CC126" s="22">
        <f t="shared" si="110"/>
        <v>0.26485519765283283</v>
      </c>
      <c r="CD126" s="66">
        <f t="shared" si="128"/>
        <v>332347371</v>
      </c>
      <c r="CE126" s="66"/>
      <c r="CF126" s="66"/>
      <c r="CG126" s="66"/>
      <c r="CH126" s="66"/>
      <c r="CI126" s="66"/>
      <c r="CJ126" s="66"/>
      <c r="CK126" s="66"/>
      <c r="CL126" s="66">
        <f>+'[1]OCTUBRE 2019'!$H$146+'[1]OCTUBRE 2019'!$H$151+'[1]OCTUBRE 2019'!$H$156+'[1]OCTUBRE 2019'!$H$170</f>
        <v>241721314</v>
      </c>
      <c r="CM126" s="66"/>
      <c r="CN126" s="66"/>
      <c r="CO126" s="66"/>
      <c r="CP126" s="66"/>
      <c r="CQ126" s="66"/>
      <c r="CR126" s="66"/>
      <c r="CS126" s="66"/>
      <c r="CT126" s="66"/>
      <c r="CU126" s="66"/>
      <c r="CV126" s="66"/>
      <c r="CW126" s="66"/>
      <c r="CX126" s="66"/>
      <c r="CY126" s="66"/>
      <c r="CZ126" s="66">
        <f>+'[6]MAYO 2019'!$H$80</f>
        <v>45956280</v>
      </c>
      <c r="DA126" s="75">
        <f>+'[1]OCTUBRE 2019'!$H$138+'[1]OCTUBRE 2019'!$H$143+'[1]OCTUBRE 2019'!$H$161+'[1]OCTUBRE 2019'!$H$174</f>
        <v>44669777</v>
      </c>
      <c r="DB126" s="22">
        <f t="shared" si="59"/>
        <v>0.73514480234716717</v>
      </c>
      <c r="DC126" s="66">
        <f t="shared" si="129"/>
        <v>922479319</v>
      </c>
      <c r="DD126" s="66">
        <f t="shared" si="130"/>
        <v>0</v>
      </c>
      <c r="DE126" s="66">
        <f t="shared" si="130"/>
        <v>0</v>
      </c>
      <c r="DF126" s="66">
        <f t="shared" si="130"/>
        <v>0</v>
      </c>
      <c r="DG126" s="66">
        <f t="shared" si="131"/>
        <v>0</v>
      </c>
      <c r="DH126" s="66">
        <f t="shared" si="131"/>
        <v>0</v>
      </c>
      <c r="DI126" s="66">
        <f t="shared" si="131"/>
        <v>0</v>
      </c>
      <c r="DJ126" s="66">
        <f t="shared" si="131"/>
        <v>0</v>
      </c>
      <c r="DK126" s="66">
        <f t="shared" si="131"/>
        <v>398838646</v>
      </c>
      <c r="DL126" s="66">
        <f t="shared" si="131"/>
        <v>239000000</v>
      </c>
      <c r="DM126" s="66">
        <f t="shared" si="131"/>
        <v>115000000</v>
      </c>
      <c r="DN126" s="66">
        <f t="shared" si="131"/>
        <v>0</v>
      </c>
      <c r="DO126" s="66">
        <f t="shared" si="131"/>
        <v>0</v>
      </c>
      <c r="DP126" s="66">
        <f t="shared" si="131"/>
        <v>45000000</v>
      </c>
      <c r="DQ126" s="66">
        <f t="shared" si="131"/>
        <v>30905320</v>
      </c>
      <c r="DR126" s="66">
        <f t="shared" si="131"/>
        <v>0</v>
      </c>
      <c r="DS126" s="66">
        <f t="shared" si="131"/>
        <v>0</v>
      </c>
      <c r="DT126" s="66">
        <f t="shared" si="131"/>
        <v>0</v>
      </c>
      <c r="DU126" s="66">
        <f t="shared" si="131"/>
        <v>0</v>
      </c>
      <c r="DV126" s="66">
        <f t="shared" si="131"/>
        <v>0</v>
      </c>
      <c r="DW126" s="66">
        <f t="shared" si="132"/>
        <v>0</v>
      </c>
      <c r="DX126" s="66">
        <f t="shared" si="132"/>
        <v>0</v>
      </c>
      <c r="DY126" s="66">
        <f>AC126-CZ126</f>
        <v>14405130</v>
      </c>
      <c r="DZ126" s="66">
        <f t="shared" si="133"/>
        <v>79330223</v>
      </c>
      <c r="EC126" s="173">
        <v>1254826690</v>
      </c>
      <c r="ED126" s="173">
        <v>332347371</v>
      </c>
      <c r="EE126" s="174">
        <f t="shared" si="94"/>
        <v>0.26485519765283283</v>
      </c>
    </row>
    <row r="127" spans="1:135" ht="35.4" hidden="1" customHeight="1" x14ac:dyDescent="0.3">
      <c r="A127" s="207"/>
      <c r="B127" s="194"/>
      <c r="C127" s="70" t="s">
        <v>62</v>
      </c>
      <c r="D127" s="81" t="s">
        <v>61</v>
      </c>
      <c r="E127" s="68">
        <v>211</v>
      </c>
      <c r="F127" s="67" t="s">
        <v>60</v>
      </c>
      <c r="G127" s="66">
        <f t="shared" si="120"/>
        <v>3236110161</v>
      </c>
      <c r="H127" s="66"/>
      <c r="I127" s="66"/>
      <c r="J127" s="66"/>
      <c r="K127" s="66"/>
      <c r="L127" s="66"/>
      <c r="M127" s="66"/>
      <c r="N127" s="66"/>
      <c r="O127" s="66">
        <f>319000000+200000000+104225677</f>
        <v>623225677</v>
      </c>
      <c r="P127" s="66">
        <f>200630318+220000000</f>
        <v>420630318</v>
      </c>
      <c r="Q127" s="66">
        <f>93000000+341800300</f>
        <v>434800300</v>
      </c>
      <c r="R127" s="66">
        <f>47000000+75000000+8786495</f>
        <v>130786495</v>
      </c>
      <c r="S127" s="66"/>
      <c r="T127" s="66">
        <v>5000000</v>
      </c>
      <c r="U127" s="66"/>
      <c r="V127" s="66">
        <f>20000000+45200000+106930178</f>
        <v>172130178</v>
      </c>
      <c r="W127" s="66">
        <v>50000000</v>
      </c>
      <c r="X127" s="66"/>
      <c r="Y127" s="66">
        <v>750000000</v>
      </c>
      <c r="Z127" s="66"/>
      <c r="AA127" s="66"/>
      <c r="AB127" s="66"/>
      <c r="AC127" s="66">
        <f>149490840+13172000+18000000</f>
        <v>180662840</v>
      </c>
      <c r="AD127" s="66">
        <f>194000000+50000000+2500000+114010258+74102759+4261336+20000000+10000000</f>
        <v>468874353</v>
      </c>
      <c r="AE127" s="22">
        <f t="shared" si="81"/>
        <v>0.93253312089581863</v>
      </c>
      <c r="AF127" s="66">
        <f t="shared" si="121"/>
        <v>3017779908</v>
      </c>
      <c r="AG127" s="66"/>
      <c r="AH127" s="66"/>
      <c r="AI127" s="66"/>
      <c r="AJ127" s="66"/>
      <c r="AK127" s="66"/>
      <c r="AL127" s="66"/>
      <c r="AM127" s="66"/>
      <c r="AN127" s="66">
        <f>+'[1]OCTUBRE 2019'!$Q$187</f>
        <v>622482913</v>
      </c>
      <c r="AO127" s="66">
        <f>+'[1]OCTUBRE 2019'!$R$187</f>
        <v>387197714</v>
      </c>
      <c r="AP127" s="66">
        <f>+'[1]OCTUBRE 2019'!$S$187</f>
        <v>434683892</v>
      </c>
      <c r="AQ127" s="66">
        <f>+'[1]OCTUBRE 2019'!$T$187</f>
        <v>75566279</v>
      </c>
      <c r="AR127" s="66"/>
      <c r="AS127" s="66"/>
      <c r="AT127" s="66"/>
      <c r="AU127" s="66">
        <f>+'[1]OCTUBRE 2019'!$X$187</f>
        <v>172130178</v>
      </c>
      <c r="AV127" s="66">
        <f>+'[10]ABRIL 2019'!$X$73</f>
        <v>50000000</v>
      </c>
      <c r="AW127" s="66"/>
      <c r="AX127" s="66">
        <f>+'[2]SEPTIEMBRE 2019'!$AA$158</f>
        <v>744901055</v>
      </c>
      <c r="AY127" s="66"/>
      <c r="AZ127" s="66"/>
      <c r="BA127" s="66"/>
      <c r="BB127" s="66">
        <f>+'[7]AGOSTO 2019'!$AE$137</f>
        <v>123006604</v>
      </c>
      <c r="BC127" s="66">
        <f>+'[1]OCTUBRE 2019'!$AG$187</f>
        <v>407811273</v>
      </c>
      <c r="BD127" s="22">
        <f t="shared" si="57"/>
        <v>6.7466879104181365E-2</v>
      </c>
      <c r="BE127" s="66">
        <f t="shared" si="122"/>
        <v>218330253</v>
      </c>
      <c r="BF127" s="66">
        <f t="shared" si="123"/>
        <v>0</v>
      </c>
      <c r="BG127" s="66">
        <f t="shared" si="123"/>
        <v>0</v>
      </c>
      <c r="BH127" s="66">
        <f t="shared" si="123"/>
        <v>0</v>
      </c>
      <c r="BI127" s="66">
        <f t="shared" si="124"/>
        <v>0</v>
      </c>
      <c r="BJ127" s="66">
        <f t="shared" si="125"/>
        <v>0</v>
      </c>
      <c r="BK127" s="66">
        <f t="shared" si="125"/>
        <v>0</v>
      </c>
      <c r="BL127" s="66">
        <f t="shared" si="125"/>
        <v>0</v>
      </c>
      <c r="BM127" s="66">
        <f t="shared" si="125"/>
        <v>742764</v>
      </c>
      <c r="BN127" s="66">
        <f t="shared" si="125"/>
        <v>33432604</v>
      </c>
      <c r="BO127" s="66">
        <f t="shared" si="125"/>
        <v>116408</v>
      </c>
      <c r="BP127" s="66">
        <f t="shared" si="125"/>
        <v>55220216</v>
      </c>
      <c r="BQ127" s="66">
        <f t="shared" si="125"/>
        <v>0</v>
      </c>
      <c r="BR127" s="66">
        <f t="shared" si="125"/>
        <v>5000000</v>
      </c>
      <c r="BS127" s="66">
        <f t="shared" si="125"/>
        <v>0</v>
      </c>
      <c r="BT127" s="66">
        <f t="shared" si="125"/>
        <v>0</v>
      </c>
      <c r="BU127" s="66">
        <f t="shared" si="125"/>
        <v>0</v>
      </c>
      <c r="BV127" s="66">
        <f t="shared" si="125"/>
        <v>0</v>
      </c>
      <c r="BW127" s="66">
        <f t="shared" si="125"/>
        <v>5098945</v>
      </c>
      <c r="BX127" s="66">
        <f t="shared" si="125"/>
        <v>0</v>
      </c>
      <c r="BY127" s="66">
        <f t="shared" si="125"/>
        <v>0</v>
      </c>
      <c r="BZ127" s="66">
        <f t="shared" si="126"/>
        <v>0</v>
      </c>
      <c r="CA127" s="66">
        <f>AC127-BB127</f>
        <v>57656236</v>
      </c>
      <c r="CB127" s="66">
        <f t="shared" si="127"/>
        <v>61063080</v>
      </c>
      <c r="CC127" s="22">
        <f t="shared" si="110"/>
        <v>0.65352511372680677</v>
      </c>
      <c r="CD127" s="80">
        <f t="shared" si="128"/>
        <v>2114879261</v>
      </c>
      <c r="CE127" s="66"/>
      <c r="CF127" s="66"/>
      <c r="CG127" s="66"/>
      <c r="CH127" s="66"/>
      <c r="CI127" s="66"/>
      <c r="CJ127" s="66"/>
      <c r="CK127" s="66"/>
      <c r="CL127" s="66">
        <f>+'[2]SEPTIEMBRE 2019'!$H$187+'[2]SEPTIEMBRE 2019'!$H$210+'[2]SEPTIEMBRE 2019'!$H$231</f>
        <v>622482913</v>
      </c>
      <c r="CM127" s="66">
        <f>+'[2]SEPTIEMBRE 2019'!$H$166+'[2]SEPTIEMBRE 2019'!$H$216+'[2]SEPTIEMBRE 2019'!$H$219+'[2]SEPTIEMBRE 2019'!$H$225</f>
        <v>187193274</v>
      </c>
      <c r="CN127" s="66">
        <f>+'[2]SEPTIEMBRE 2019'!$H$164+'[2]SEPTIEMBRE 2019'!$H$222</f>
        <v>92883592</v>
      </c>
      <c r="CO127" s="66">
        <f>+'[11]JULIO 2019'!$H$136+'[11]JULIO 2019'!$H$158</f>
        <v>41135657</v>
      </c>
      <c r="CP127" s="66"/>
      <c r="CQ127" s="66"/>
      <c r="CR127" s="66"/>
      <c r="CS127" s="66">
        <f>+'[11]JULIO 2019'!$H$160</f>
        <v>20000000</v>
      </c>
      <c r="CT127" s="66">
        <f>+'[7]AGOSTO 2019'!$H$159</f>
        <v>29024945</v>
      </c>
      <c r="CU127" s="66"/>
      <c r="CV127" s="66">
        <f>+'[2]SEPTIEMBRE 2019'!$H$170+'[2]SEPTIEMBRE 2019'!$H$174+'[2]SEPTIEMBRE 2019'!$H$228</f>
        <v>744901055</v>
      </c>
      <c r="CW127" s="66"/>
      <c r="CX127" s="66"/>
      <c r="CY127" s="66"/>
      <c r="CZ127" s="66">
        <f>+'[1]OCTUBRE 2019'!$H$224+'[1]OCTUBRE 2019'!$H$234+'[1]OCTUBRE 2019'!$H$237+'[1]OCTUBRE 2019'!$H$247</f>
        <v>98343631</v>
      </c>
      <c r="DA127" s="66">
        <f>+'[1]OCTUBRE 2019'!$H$188+'[1]OCTUBRE 2019'!$H$192+'[1]OCTUBRE 2019'!$H$207+'[1]OCTUBRE 2019'!$H$217+'[1]OCTUBRE 2019'!$H$240+'[1]OCTUBRE 2019'!$G$267</f>
        <v>278914194</v>
      </c>
      <c r="DB127" s="22">
        <f t="shared" si="59"/>
        <v>0.34647488627319323</v>
      </c>
      <c r="DC127" s="66">
        <f t="shared" si="129"/>
        <v>1121230900</v>
      </c>
      <c r="DD127" s="66">
        <f t="shared" si="130"/>
        <v>0</v>
      </c>
      <c r="DE127" s="66">
        <f t="shared" si="130"/>
        <v>0</v>
      </c>
      <c r="DF127" s="66">
        <f t="shared" si="130"/>
        <v>0</v>
      </c>
      <c r="DG127" s="66">
        <f t="shared" si="131"/>
        <v>0</v>
      </c>
      <c r="DH127" s="66">
        <f t="shared" si="131"/>
        <v>0</v>
      </c>
      <c r="DI127" s="66">
        <f t="shared" si="131"/>
        <v>0</v>
      </c>
      <c r="DJ127" s="66">
        <f t="shared" si="131"/>
        <v>0</v>
      </c>
      <c r="DK127" s="66">
        <f t="shared" si="131"/>
        <v>742764</v>
      </c>
      <c r="DL127" s="66">
        <f t="shared" si="131"/>
        <v>233437044</v>
      </c>
      <c r="DM127" s="66">
        <f t="shared" si="131"/>
        <v>341916708</v>
      </c>
      <c r="DN127" s="66">
        <f t="shared" si="131"/>
        <v>89650838</v>
      </c>
      <c r="DO127" s="66">
        <f t="shared" si="131"/>
        <v>0</v>
      </c>
      <c r="DP127" s="66">
        <f t="shared" si="131"/>
        <v>5000000</v>
      </c>
      <c r="DQ127" s="66">
        <f t="shared" si="131"/>
        <v>0</v>
      </c>
      <c r="DR127" s="66">
        <f t="shared" si="131"/>
        <v>152130178</v>
      </c>
      <c r="DS127" s="66">
        <f t="shared" si="131"/>
        <v>20975055</v>
      </c>
      <c r="DT127" s="66">
        <f t="shared" si="131"/>
        <v>0</v>
      </c>
      <c r="DU127" s="66">
        <f t="shared" si="131"/>
        <v>5098945</v>
      </c>
      <c r="DV127" s="66">
        <f t="shared" si="131"/>
        <v>0</v>
      </c>
      <c r="DW127" s="66">
        <f t="shared" si="132"/>
        <v>0</v>
      </c>
      <c r="DX127" s="66">
        <f t="shared" si="132"/>
        <v>0</v>
      </c>
      <c r="DY127" s="66">
        <f>AC127-CZ127</f>
        <v>82319209</v>
      </c>
      <c r="DZ127" s="66">
        <f t="shared" si="133"/>
        <v>189960159</v>
      </c>
      <c r="EB127" s="76"/>
      <c r="EC127" s="173">
        <v>3236110161</v>
      </c>
      <c r="ED127" s="173">
        <v>2114879261</v>
      </c>
      <c r="EE127" s="174">
        <f t="shared" si="94"/>
        <v>0.65352511372680677</v>
      </c>
    </row>
    <row r="128" spans="1:135" s="76" customFormat="1" ht="39.6" hidden="1" customHeight="1" x14ac:dyDescent="0.3">
      <c r="A128" s="207"/>
      <c r="B128" s="194"/>
      <c r="C128" s="79" t="s">
        <v>59</v>
      </c>
      <c r="D128" s="69" t="s">
        <v>58</v>
      </c>
      <c r="E128" s="78">
        <v>211</v>
      </c>
      <c r="F128" s="67" t="s">
        <v>57</v>
      </c>
      <c r="G128" s="66">
        <f t="shared" si="120"/>
        <v>272255443</v>
      </c>
      <c r="H128" s="35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>
        <v>240806613</v>
      </c>
      <c r="Y128" s="66"/>
      <c r="Z128" s="66"/>
      <c r="AA128" s="66"/>
      <c r="AB128" s="66"/>
      <c r="AC128" s="66"/>
      <c r="AD128" s="66">
        <f>77448830-4000000-9000000-33000000</f>
        <v>31448830</v>
      </c>
      <c r="AE128" s="77">
        <f t="shared" si="81"/>
        <v>0.96012110215184931</v>
      </c>
      <c r="AF128" s="66">
        <f t="shared" si="121"/>
        <v>261398196</v>
      </c>
      <c r="AG128" s="75"/>
      <c r="AH128" s="75"/>
      <c r="AI128" s="75"/>
      <c r="AJ128" s="75"/>
      <c r="AK128" s="75"/>
      <c r="AL128" s="75"/>
      <c r="AM128" s="75"/>
      <c r="AN128" s="75"/>
      <c r="AO128" s="75"/>
      <c r="AP128" s="75"/>
      <c r="AQ128" s="75"/>
      <c r="AR128" s="75"/>
      <c r="AS128" s="75"/>
      <c r="AT128" s="75"/>
      <c r="AU128" s="75"/>
      <c r="AV128" s="75"/>
      <c r="AW128" s="75">
        <f>+'[1]OCTUBRE 2019'!$Z$292</f>
        <v>234490366</v>
      </c>
      <c r="AX128" s="75"/>
      <c r="AY128" s="75"/>
      <c r="AZ128" s="75"/>
      <c r="BA128" s="75"/>
      <c r="BB128" s="75"/>
      <c r="BC128" s="75">
        <f>+'[1]OCTUBRE 2019'!$AG$292</f>
        <v>26907830</v>
      </c>
      <c r="BD128" s="77">
        <f t="shared" si="57"/>
        <v>3.9878897848150685E-2</v>
      </c>
      <c r="BE128" s="66">
        <f t="shared" si="122"/>
        <v>10857247</v>
      </c>
      <c r="BF128" s="66">
        <f t="shared" si="123"/>
        <v>0</v>
      </c>
      <c r="BG128" s="66">
        <f t="shared" si="123"/>
        <v>0</v>
      </c>
      <c r="BH128" s="66">
        <f t="shared" si="123"/>
        <v>0</v>
      </c>
      <c r="BI128" s="66">
        <f t="shared" si="124"/>
        <v>0</v>
      </c>
      <c r="BJ128" s="66">
        <f t="shared" si="125"/>
        <v>0</v>
      </c>
      <c r="BK128" s="66">
        <f t="shared" si="125"/>
        <v>0</v>
      </c>
      <c r="BL128" s="66">
        <f t="shared" si="125"/>
        <v>0</v>
      </c>
      <c r="BM128" s="66">
        <f t="shared" si="125"/>
        <v>0</v>
      </c>
      <c r="BN128" s="66">
        <f t="shared" si="125"/>
        <v>0</v>
      </c>
      <c r="BO128" s="66">
        <f t="shared" si="125"/>
        <v>0</v>
      </c>
      <c r="BP128" s="66">
        <f t="shared" si="125"/>
        <v>0</v>
      </c>
      <c r="BQ128" s="66">
        <f t="shared" si="125"/>
        <v>0</v>
      </c>
      <c r="BR128" s="66">
        <f t="shared" si="125"/>
        <v>0</v>
      </c>
      <c r="BS128" s="66">
        <f t="shared" si="125"/>
        <v>0</v>
      </c>
      <c r="BT128" s="66">
        <f t="shared" si="125"/>
        <v>0</v>
      </c>
      <c r="BU128" s="66">
        <f t="shared" si="125"/>
        <v>0</v>
      </c>
      <c r="BV128" s="66">
        <f t="shared" si="125"/>
        <v>6316247</v>
      </c>
      <c r="BW128" s="66">
        <f t="shared" si="125"/>
        <v>0</v>
      </c>
      <c r="BX128" s="66">
        <f t="shared" si="125"/>
        <v>0</v>
      </c>
      <c r="BY128" s="66">
        <f t="shared" si="125"/>
        <v>0</v>
      </c>
      <c r="BZ128" s="66">
        <f t="shared" si="126"/>
        <v>0</v>
      </c>
      <c r="CA128" s="66"/>
      <c r="CB128" s="66">
        <f t="shared" si="127"/>
        <v>4541000</v>
      </c>
      <c r="CC128" s="77">
        <f t="shared" si="110"/>
        <v>0.85692876670972562</v>
      </c>
      <c r="CD128" s="66">
        <f t="shared" si="128"/>
        <v>233303521</v>
      </c>
      <c r="CE128" s="75"/>
      <c r="CF128" s="75"/>
      <c r="CG128" s="75"/>
      <c r="CH128" s="75"/>
      <c r="CI128" s="75"/>
      <c r="CJ128" s="75"/>
      <c r="CK128" s="75"/>
      <c r="CL128" s="75"/>
      <c r="CM128" s="75"/>
      <c r="CN128" s="75"/>
      <c r="CO128" s="75"/>
      <c r="CP128" s="75"/>
      <c r="CQ128" s="75"/>
      <c r="CR128" s="75"/>
      <c r="CS128" s="75"/>
      <c r="CT128" s="75"/>
      <c r="CU128" s="75">
        <f>+'[1]OCTUBRE 2019'!$H$294+'[1]OCTUBRE 2019'!$H$296+'[1]OCTUBRE 2019'!$H$299+'[1]OCTUBRE 2019'!$H$303+'[1]OCTUBRE 2019'!$H$306+'[1]OCTUBRE 2019'!$H$309+'[1]OCTUBRE 2019'!$H$313+'[1]OCTUBRE 2019'!$H$315+'[1]OCTUBRE 2019'!$H$318+'[1]OCTUBRE 2019'!$H$321+'[1]OCTUBRE 2019'!$H$324+'[1]OCTUBRE 2019'!$H$327</f>
        <v>207628691</v>
      </c>
      <c r="CV128" s="75"/>
      <c r="CW128" s="75"/>
      <c r="CX128" s="75"/>
      <c r="CY128" s="75"/>
      <c r="CZ128" s="75"/>
      <c r="DA128" s="75">
        <f>+'[1]OCTUBRE 2019'!$H$330+'[1]OCTUBRE 2019'!$H$335+'[1]OCTUBRE 2019'!$H$338+'[1]OCTUBRE 2019'!$H$341</f>
        <v>25674830</v>
      </c>
      <c r="DB128" s="77">
        <f t="shared" si="59"/>
        <v>0.14307123329027438</v>
      </c>
      <c r="DC128" s="66">
        <f t="shared" si="129"/>
        <v>38951922</v>
      </c>
      <c r="DD128" s="66">
        <f t="shared" si="130"/>
        <v>0</v>
      </c>
      <c r="DE128" s="66">
        <f t="shared" si="130"/>
        <v>0</v>
      </c>
      <c r="DF128" s="66">
        <f t="shared" si="130"/>
        <v>0</v>
      </c>
      <c r="DG128" s="66">
        <f t="shared" si="131"/>
        <v>0</v>
      </c>
      <c r="DH128" s="66">
        <f t="shared" si="131"/>
        <v>0</v>
      </c>
      <c r="DI128" s="66">
        <f t="shared" si="131"/>
        <v>0</v>
      </c>
      <c r="DJ128" s="66">
        <f t="shared" si="131"/>
        <v>0</v>
      </c>
      <c r="DK128" s="66">
        <f t="shared" si="131"/>
        <v>0</v>
      </c>
      <c r="DL128" s="66">
        <f t="shared" si="131"/>
        <v>0</v>
      </c>
      <c r="DM128" s="66">
        <f t="shared" si="131"/>
        <v>0</v>
      </c>
      <c r="DN128" s="66">
        <f t="shared" si="131"/>
        <v>0</v>
      </c>
      <c r="DO128" s="66">
        <f t="shared" si="131"/>
        <v>0</v>
      </c>
      <c r="DP128" s="66">
        <f t="shared" si="131"/>
        <v>0</v>
      </c>
      <c r="DQ128" s="66">
        <f t="shared" si="131"/>
        <v>0</v>
      </c>
      <c r="DR128" s="66">
        <f t="shared" si="131"/>
        <v>0</v>
      </c>
      <c r="DS128" s="66">
        <f t="shared" si="131"/>
        <v>0</v>
      </c>
      <c r="DT128" s="66">
        <f t="shared" si="131"/>
        <v>33177922</v>
      </c>
      <c r="DU128" s="66">
        <f t="shared" si="131"/>
        <v>0</v>
      </c>
      <c r="DV128" s="66">
        <f t="shared" si="131"/>
        <v>0</v>
      </c>
      <c r="DW128" s="66">
        <f t="shared" si="132"/>
        <v>0</v>
      </c>
      <c r="DX128" s="66">
        <f t="shared" si="132"/>
        <v>0</v>
      </c>
      <c r="DY128" s="66"/>
      <c r="DZ128" s="66">
        <f t="shared" si="133"/>
        <v>5774000</v>
      </c>
      <c r="EB128"/>
      <c r="EC128" s="173">
        <v>272255443</v>
      </c>
      <c r="ED128" s="173">
        <v>233303521</v>
      </c>
      <c r="EE128" s="174">
        <f t="shared" si="94"/>
        <v>0.85692876670972562</v>
      </c>
    </row>
    <row r="129" spans="1:135" ht="24" hidden="1" customHeight="1" x14ac:dyDescent="0.3">
      <c r="A129" s="207"/>
      <c r="B129" s="194"/>
      <c r="C129" s="70" t="s">
        <v>56</v>
      </c>
      <c r="D129" s="71" t="s">
        <v>55</v>
      </c>
      <c r="E129" s="68">
        <v>211</v>
      </c>
      <c r="F129" s="67" t="s">
        <v>54</v>
      </c>
      <c r="G129" s="66">
        <f t="shared" si="120"/>
        <v>377500000</v>
      </c>
      <c r="H129" s="35"/>
      <c r="I129" s="66"/>
      <c r="J129" s="66"/>
      <c r="K129" s="66"/>
      <c r="L129" s="66"/>
      <c r="M129" s="66"/>
      <c r="N129" s="66"/>
      <c r="O129" s="66">
        <v>343000000</v>
      </c>
      <c r="P129" s="66"/>
      <c r="Q129" s="66"/>
      <c r="R129" s="66"/>
      <c r="S129" s="66"/>
      <c r="T129" s="66"/>
      <c r="U129" s="66">
        <f>25000000+5000000</f>
        <v>30000000</v>
      </c>
      <c r="V129" s="66"/>
      <c r="W129" s="66"/>
      <c r="X129" s="66"/>
      <c r="Y129" s="66"/>
      <c r="Z129" s="66"/>
      <c r="AA129" s="66"/>
      <c r="AB129" s="66"/>
      <c r="AC129" s="66"/>
      <c r="AD129" s="66">
        <f>4500000</f>
        <v>4500000</v>
      </c>
      <c r="AE129" s="22">
        <f t="shared" si="81"/>
        <v>0.818959242384106</v>
      </c>
      <c r="AF129" s="66">
        <f t="shared" si="121"/>
        <v>309157114</v>
      </c>
      <c r="AG129" s="66"/>
      <c r="AH129" s="66"/>
      <c r="AI129" s="66"/>
      <c r="AJ129" s="66"/>
      <c r="AK129" s="66"/>
      <c r="AL129" s="66"/>
      <c r="AM129" s="66"/>
      <c r="AN129" s="66">
        <f>+'[1]OCTUBRE 2019'!$Q$351</f>
        <v>275811298</v>
      </c>
      <c r="AO129" s="66"/>
      <c r="AP129" s="66"/>
      <c r="AQ129" s="66"/>
      <c r="AR129" s="66"/>
      <c r="AS129" s="66"/>
      <c r="AT129" s="66">
        <f>+'[7]AGOSTO 2019'!$V$223</f>
        <v>28845816</v>
      </c>
      <c r="AU129" s="66"/>
      <c r="AV129" s="66"/>
      <c r="AW129" s="66"/>
      <c r="AX129" s="66"/>
      <c r="AY129" s="66"/>
      <c r="AZ129" s="66"/>
      <c r="BA129" s="66"/>
      <c r="BB129" s="66"/>
      <c r="BC129" s="75">
        <f>+'[6]MAYO 2019'!$AF$125</f>
        <v>4500000</v>
      </c>
      <c r="BD129" s="22">
        <f t="shared" si="57"/>
        <v>0.181040757615894</v>
      </c>
      <c r="BE129" s="66">
        <f t="shared" si="122"/>
        <v>68342886</v>
      </c>
      <c r="BF129" s="66">
        <f t="shared" si="123"/>
        <v>0</v>
      </c>
      <c r="BG129" s="66">
        <f t="shared" si="123"/>
        <v>0</v>
      </c>
      <c r="BH129" s="66">
        <f t="shared" si="123"/>
        <v>0</v>
      </c>
      <c r="BI129" s="66">
        <f t="shared" si="124"/>
        <v>0</v>
      </c>
      <c r="BJ129" s="66">
        <f t="shared" si="125"/>
        <v>0</v>
      </c>
      <c r="BK129" s="66">
        <f t="shared" si="125"/>
        <v>0</v>
      </c>
      <c r="BL129" s="66">
        <f t="shared" si="125"/>
        <v>0</v>
      </c>
      <c r="BM129" s="66">
        <f t="shared" si="125"/>
        <v>67188702</v>
      </c>
      <c r="BN129" s="66">
        <f t="shared" si="125"/>
        <v>0</v>
      </c>
      <c r="BO129" s="66">
        <f t="shared" si="125"/>
        <v>0</v>
      </c>
      <c r="BP129" s="66">
        <f t="shared" si="125"/>
        <v>0</v>
      </c>
      <c r="BQ129" s="66">
        <f t="shared" si="125"/>
        <v>0</v>
      </c>
      <c r="BR129" s="66">
        <f t="shared" si="125"/>
        <v>0</v>
      </c>
      <c r="BS129" s="66">
        <f t="shared" si="125"/>
        <v>1154184</v>
      </c>
      <c r="BT129" s="66">
        <f t="shared" si="125"/>
        <v>0</v>
      </c>
      <c r="BU129" s="66">
        <f t="shared" si="125"/>
        <v>0</v>
      </c>
      <c r="BV129" s="66">
        <f t="shared" si="125"/>
        <v>0</v>
      </c>
      <c r="BW129" s="66">
        <f t="shared" si="125"/>
        <v>0</v>
      </c>
      <c r="BX129" s="66">
        <f t="shared" si="125"/>
        <v>0</v>
      </c>
      <c r="BY129" s="66">
        <f t="shared" si="125"/>
        <v>0</v>
      </c>
      <c r="BZ129" s="66">
        <f t="shared" si="126"/>
        <v>0</v>
      </c>
      <c r="CA129" s="66"/>
      <c r="CB129" s="66">
        <f t="shared" si="127"/>
        <v>0</v>
      </c>
      <c r="CC129" s="22">
        <f t="shared" si="110"/>
        <v>0.66741546754966885</v>
      </c>
      <c r="CD129" s="66">
        <f t="shared" si="128"/>
        <v>251949339</v>
      </c>
      <c r="CE129" s="66"/>
      <c r="CF129" s="66"/>
      <c r="CG129" s="66"/>
      <c r="CH129" s="66"/>
      <c r="CI129" s="66"/>
      <c r="CJ129" s="66"/>
      <c r="CK129" s="66"/>
      <c r="CL129" s="66">
        <f>+'[1]OCTUBRE 2019'!$H$354+'[1]OCTUBRE 2019'!$H$356+'[1]OCTUBRE 2019'!$H$358+'[1]OCTUBRE 2019'!$H$361+'[1]OCTUBRE 2019'!$H$366+'[1]OCTUBRE 2019'!$H$369</f>
        <v>251669339</v>
      </c>
      <c r="CM129" s="66"/>
      <c r="CN129" s="66"/>
      <c r="CO129" s="66"/>
      <c r="CP129" s="66"/>
      <c r="CQ129" s="66"/>
      <c r="CR129" s="66"/>
      <c r="CS129" s="66"/>
      <c r="CT129" s="66"/>
      <c r="CU129" s="66"/>
      <c r="CV129" s="66"/>
      <c r="CW129" s="66"/>
      <c r="CX129" s="66"/>
      <c r="CY129" s="66"/>
      <c r="CZ129" s="66"/>
      <c r="DA129" s="66">
        <f>+'[6]MAYO 2019'!$H$126</f>
        <v>280000</v>
      </c>
      <c r="DB129" s="22">
        <f t="shared" si="59"/>
        <v>0.33258453245033115</v>
      </c>
      <c r="DC129" s="66">
        <f t="shared" si="129"/>
        <v>125550661</v>
      </c>
      <c r="DD129" s="66">
        <f t="shared" si="130"/>
        <v>0</v>
      </c>
      <c r="DE129" s="66">
        <f t="shared" si="130"/>
        <v>0</v>
      </c>
      <c r="DF129" s="66">
        <f t="shared" si="130"/>
        <v>0</v>
      </c>
      <c r="DG129" s="66">
        <f t="shared" si="131"/>
        <v>0</v>
      </c>
      <c r="DH129" s="66">
        <f t="shared" si="131"/>
        <v>0</v>
      </c>
      <c r="DI129" s="66">
        <f t="shared" si="131"/>
        <v>0</v>
      </c>
      <c r="DJ129" s="66">
        <f t="shared" si="131"/>
        <v>0</v>
      </c>
      <c r="DK129" s="66">
        <f t="shared" si="131"/>
        <v>91330661</v>
      </c>
      <c r="DL129" s="66">
        <f t="shared" si="131"/>
        <v>0</v>
      </c>
      <c r="DM129" s="66">
        <f t="shared" si="131"/>
        <v>0</v>
      </c>
      <c r="DN129" s="66">
        <f t="shared" si="131"/>
        <v>0</v>
      </c>
      <c r="DO129" s="66">
        <f t="shared" si="131"/>
        <v>0</v>
      </c>
      <c r="DP129" s="66">
        <f t="shared" si="131"/>
        <v>0</v>
      </c>
      <c r="DQ129" s="66">
        <f t="shared" si="131"/>
        <v>30000000</v>
      </c>
      <c r="DR129" s="66">
        <f t="shared" si="131"/>
        <v>0</v>
      </c>
      <c r="DS129" s="66">
        <f t="shared" si="131"/>
        <v>0</v>
      </c>
      <c r="DT129" s="66">
        <f t="shared" si="131"/>
        <v>0</v>
      </c>
      <c r="DU129" s="66">
        <f t="shared" si="131"/>
        <v>0</v>
      </c>
      <c r="DV129" s="66">
        <f t="shared" si="131"/>
        <v>0</v>
      </c>
      <c r="DW129" s="66">
        <f t="shared" si="132"/>
        <v>0</v>
      </c>
      <c r="DX129" s="66">
        <f t="shared" si="132"/>
        <v>0</v>
      </c>
      <c r="DY129" s="66"/>
      <c r="DZ129" s="66">
        <f t="shared" si="133"/>
        <v>4220000</v>
      </c>
      <c r="EC129" s="173">
        <v>377500000</v>
      </c>
      <c r="ED129" s="173">
        <v>251949339</v>
      </c>
      <c r="EE129" s="174">
        <f t="shared" si="94"/>
        <v>0.66741546754966885</v>
      </c>
    </row>
    <row r="130" spans="1:135" ht="30.6" hidden="1" customHeight="1" x14ac:dyDescent="0.3">
      <c r="A130" s="207"/>
      <c r="B130" s="194"/>
      <c r="C130" s="70" t="s">
        <v>53</v>
      </c>
      <c r="D130" s="71" t="s">
        <v>52</v>
      </c>
      <c r="E130" s="68">
        <v>211</v>
      </c>
      <c r="F130" s="67" t="s">
        <v>21</v>
      </c>
      <c r="G130" s="66">
        <f t="shared" si="120"/>
        <v>638119041</v>
      </c>
      <c r="H130" s="35"/>
      <c r="I130" s="66">
        <v>258340125</v>
      </c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>
        <v>107000000</v>
      </c>
      <c r="Y130" s="66">
        <v>62600000</v>
      </c>
      <c r="Z130" s="66">
        <f>108178916+102000000</f>
        <v>210178916</v>
      </c>
      <c r="AA130" s="66"/>
      <c r="AB130" s="66"/>
      <c r="AC130" s="66"/>
      <c r="AD130" s="66"/>
      <c r="AE130" s="22">
        <f t="shared" si="81"/>
        <v>0.99589731722172514</v>
      </c>
      <c r="AF130" s="66">
        <f t="shared" si="121"/>
        <v>635501041</v>
      </c>
      <c r="AG130" s="66"/>
      <c r="AH130" s="66">
        <f>+'[9]ENERO 2019'!$K$70</f>
        <v>258340125</v>
      </c>
      <c r="AI130" s="66"/>
      <c r="AJ130" s="66"/>
      <c r="AK130" s="66"/>
      <c r="AL130" s="66"/>
      <c r="AM130" s="66"/>
      <c r="AN130" s="66"/>
      <c r="AO130" s="66"/>
      <c r="AP130" s="66"/>
      <c r="AQ130" s="66"/>
      <c r="AR130" s="66"/>
      <c r="AS130" s="66"/>
      <c r="AT130" s="66"/>
      <c r="AU130" s="66"/>
      <c r="AV130" s="66"/>
      <c r="AW130" s="66">
        <f>+'[4]JUNIO 2019'!$Y$163</f>
        <v>107000000</v>
      </c>
      <c r="AX130" s="66">
        <f>+'[2]SEPTIEMBRE 2019'!$AA$321</f>
        <v>59982000</v>
      </c>
      <c r="AY130" s="66">
        <f>+'[1]OCTUBRE 2019'!$AB$378</f>
        <v>210178916</v>
      </c>
      <c r="AZ130" s="66"/>
      <c r="BA130" s="66"/>
      <c r="BB130" s="66"/>
      <c r="BC130" s="66"/>
      <c r="BD130" s="22">
        <f t="shared" si="57"/>
        <v>4.1026827782748576E-3</v>
      </c>
      <c r="BE130" s="66">
        <f t="shared" si="122"/>
        <v>2618000</v>
      </c>
      <c r="BF130" s="66">
        <f t="shared" si="123"/>
        <v>0</v>
      </c>
      <c r="BG130" s="66">
        <f t="shared" si="123"/>
        <v>0</v>
      </c>
      <c r="BH130" s="66">
        <f t="shared" si="123"/>
        <v>0</v>
      </c>
      <c r="BI130" s="66">
        <f t="shared" si="124"/>
        <v>0</v>
      </c>
      <c r="BJ130" s="66">
        <f t="shared" si="125"/>
        <v>0</v>
      </c>
      <c r="BK130" s="66">
        <f t="shared" si="125"/>
        <v>0</v>
      </c>
      <c r="BL130" s="66">
        <f t="shared" si="125"/>
        <v>0</v>
      </c>
      <c r="BM130" s="66">
        <f t="shared" si="125"/>
        <v>0</v>
      </c>
      <c r="BN130" s="66">
        <f t="shared" si="125"/>
        <v>0</v>
      </c>
      <c r="BO130" s="66">
        <f t="shared" si="125"/>
        <v>0</v>
      </c>
      <c r="BP130" s="66">
        <f t="shared" si="125"/>
        <v>0</v>
      </c>
      <c r="BQ130" s="66">
        <f t="shared" si="125"/>
        <v>0</v>
      </c>
      <c r="BR130" s="66">
        <f t="shared" si="125"/>
        <v>0</v>
      </c>
      <c r="BS130" s="66">
        <f t="shared" si="125"/>
        <v>0</v>
      </c>
      <c r="BT130" s="66">
        <f t="shared" si="125"/>
        <v>0</v>
      </c>
      <c r="BU130" s="66">
        <f t="shared" si="125"/>
        <v>0</v>
      </c>
      <c r="BV130" s="66">
        <f t="shared" si="125"/>
        <v>0</v>
      </c>
      <c r="BW130" s="66">
        <f t="shared" si="125"/>
        <v>2618000</v>
      </c>
      <c r="BX130" s="66">
        <f t="shared" si="125"/>
        <v>0</v>
      </c>
      <c r="BY130" s="66">
        <f t="shared" si="125"/>
        <v>0</v>
      </c>
      <c r="BZ130" s="66">
        <f t="shared" si="126"/>
        <v>0</v>
      </c>
      <c r="CA130" s="66"/>
      <c r="CB130" s="66">
        <f t="shared" si="127"/>
        <v>0</v>
      </c>
      <c r="CC130" s="22">
        <f t="shared" si="110"/>
        <v>0.83088999846973688</v>
      </c>
      <c r="CD130" s="66">
        <f t="shared" si="128"/>
        <v>530206729</v>
      </c>
      <c r="CE130" s="66"/>
      <c r="CF130" s="66">
        <f>+'[1]OCTUBRE 2019'!$H$379</f>
        <v>258340123</v>
      </c>
      <c r="CG130" s="66"/>
      <c r="CH130" s="66"/>
      <c r="CI130" s="66"/>
      <c r="CJ130" s="66"/>
      <c r="CK130" s="66"/>
      <c r="CL130" s="66"/>
      <c r="CM130" s="66"/>
      <c r="CN130" s="66"/>
      <c r="CO130" s="66"/>
      <c r="CP130" s="66"/>
      <c r="CQ130" s="66"/>
      <c r="CR130" s="66"/>
      <c r="CS130" s="66"/>
      <c r="CT130" s="66"/>
      <c r="CU130" s="66">
        <f>+'[2]SEPTIEMBRE 2019'!$H$355+'[2]SEPTIEMBRE 2019'!$H$361+'[2]SEPTIEMBRE 2019'!$H$366+'[2]SEPTIEMBRE 2019'!$Z$370</f>
        <v>106782598</v>
      </c>
      <c r="CV130" s="66">
        <v>58374008</v>
      </c>
      <c r="CW130" s="66">
        <f>+'[2]SEPTIEMBRE 2019'!$H$392</f>
        <v>106710000</v>
      </c>
      <c r="CX130" s="66"/>
      <c r="CY130" s="66"/>
      <c r="CZ130" s="66"/>
      <c r="DA130" s="66"/>
      <c r="DB130" s="22">
        <f t="shared" si="59"/>
        <v>0.16911000153026312</v>
      </c>
      <c r="DC130" s="66">
        <f t="shared" si="129"/>
        <v>107912312</v>
      </c>
      <c r="DD130" s="66">
        <f t="shared" si="130"/>
        <v>0</v>
      </c>
      <c r="DE130" s="66">
        <f t="shared" si="130"/>
        <v>2</v>
      </c>
      <c r="DF130" s="66">
        <f t="shared" si="130"/>
        <v>0</v>
      </c>
      <c r="DG130" s="66">
        <f t="shared" si="131"/>
        <v>0</v>
      </c>
      <c r="DH130" s="66">
        <f t="shared" si="131"/>
        <v>0</v>
      </c>
      <c r="DI130" s="66">
        <f t="shared" si="131"/>
        <v>0</v>
      </c>
      <c r="DJ130" s="66">
        <f t="shared" si="131"/>
        <v>0</v>
      </c>
      <c r="DK130" s="66">
        <f t="shared" si="131"/>
        <v>0</v>
      </c>
      <c r="DL130" s="66">
        <f t="shared" si="131"/>
        <v>0</v>
      </c>
      <c r="DM130" s="66">
        <f t="shared" si="131"/>
        <v>0</v>
      </c>
      <c r="DN130" s="66">
        <f t="shared" si="131"/>
        <v>0</v>
      </c>
      <c r="DO130" s="66">
        <f t="shared" si="131"/>
        <v>0</v>
      </c>
      <c r="DP130" s="66">
        <f t="shared" si="131"/>
        <v>0</v>
      </c>
      <c r="DQ130" s="66">
        <f t="shared" si="131"/>
        <v>0</v>
      </c>
      <c r="DR130" s="66">
        <f t="shared" si="131"/>
        <v>0</v>
      </c>
      <c r="DS130" s="66">
        <f t="shared" si="131"/>
        <v>0</v>
      </c>
      <c r="DT130" s="66">
        <f t="shared" si="131"/>
        <v>217402</v>
      </c>
      <c r="DU130" s="66">
        <f t="shared" si="131"/>
        <v>4225992</v>
      </c>
      <c r="DV130" s="66">
        <f t="shared" si="131"/>
        <v>103468916</v>
      </c>
      <c r="DW130" s="66">
        <f t="shared" si="132"/>
        <v>0</v>
      </c>
      <c r="DX130" s="66">
        <f t="shared" si="132"/>
        <v>0</v>
      </c>
      <c r="DY130" s="66"/>
      <c r="DZ130" s="66">
        <f t="shared" si="133"/>
        <v>0</v>
      </c>
      <c r="EC130" s="173">
        <v>638119041</v>
      </c>
      <c r="ED130" s="173">
        <v>530206729</v>
      </c>
      <c r="EE130" s="174">
        <f t="shared" si="94"/>
        <v>0.83088999846973688</v>
      </c>
    </row>
    <row r="131" spans="1:135" ht="57.6" hidden="1" customHeight="1" x14ac:dyDescent="0.3">
      <c r="A131" s="207"/>
      <c r="B131" s="195"/>
      <c r="C131" s="70" t="s">
        <v>51</v>
      </c>
      <c r="D131" s="71" t="s">
        <v>50</v>
      </c>
      <c r="E131" s="68">
        <v>211</v>
      </c>
      <c r="F131" s="67" t="s">
        <v>21</v>
      </c>
      <c r="G131" s="66">
        <f t="shared" si="120"/>
        <v>5000000</v>
      </c>
      <c r="H131" s="35"/>
      <c r="I131" s="66">
        <v>5000000</v>
      </c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  <c r="AA131" s="66"/>
      <c r="AB131" s="66"/>
      <c r="AC131" s="66"/>
      <c r="AD131" s="66"/>
      <c r="AE131" s="22">
        <f t="shared" si="81"/>
        <v>0</v>
      </c>
      <c r="AF131" s="66">
        <f t="shared" si="121"/>
        <v>0</v>
      </c>
      <c r="AG131" s="66"/>
      <c r="AH131" s="66"/>
      <c r="AI131" s="66"/>
      <c r="AJ131" s="66"/>
      <c r="AK131" s="66"/>
      <c r="AL131" s="66"/>
      <c r="AM131" s="66"/>
      <c r="AN131" s="66"/>
      <c r="AO131" s="66"/>
      <c r="AP131" s="66"/>
      <c r="AQ131" s="66"/>
      <c r="AR131" s="66"/>
      <c r="AS131" s="66"/>
      <c r="AT131" s="66"/>
      <c r="AU131" s="66"/>
      <c r="AV131" s="66"/>
      <c r="AW131" s="66"/>
      <c r="AX131" s="66"/>
      <c r="AY131" s="66"/>
      <c r="AZ131" s="66"/>
      <c r="BA131" s="66"/>
      <c r="BB131" s="66"/>
      <c r="BC131" s="66"/>
      <c r="BD131" s="22">
        <f t="shared" si="57"/>
        <v>1</v>
      </c>
      <c r="BE131" s="66">
        <f t="shared" si="122"/>
        <v>5000000</v>
      </c>
      <c r="BF131" s="66">
        <f t="shared" si="123"/>
        <v>0</v>
      </c>
      <c r="BG131" s="66">
        <f t="shared" si="123"/>
        <v>5000000</v>
      </c>
      <c r="BH131" s="66">
        <f t="shared" si="123"/>
        <v>0</v>
      </c>
      <c r="BI131" s="66">
        <f t="shared" si="124"/>
        <v>0</v>
      </c>
      <c r="BJ131" s="66">
        <f t="shared" si="125"/>
        <v>0</v>
      </c>
      <c r="BK131" s="66">
        <f t="shared" si="125"/>
        <v>0</v>
      </c>
      <c r="BL131" s="66">
        <f t="shared" si="125"/>
        <v>0</v>
      </c>
      <c r="BM131" s="66">
        <f t="shared" si="125"/>
        <v>0</v>
      </c>
      <c r="BN131" s="66">
        <f t="shared" si="125"/>
        <v>0</v>
      </c>
      <c r="BO131" s="66">
        <f t="shared" si="125"/>
        <v>0</v>
      </c>
      <c r="BP131" s="66">
        <f t="shared" si="125"/>
        <v>0</v>
      </c>
      <c r="BQ131" s="66">
        <f t="shared" si="125"/>
        <v>0</v>
      </c>
      <c r="BR131" s="66">
        <f t="shared" si="125"/>
        <v>0</v>
      </c>
      <c r="BS131" s="66">
        <f t="shared" si="125"/>
        <v>0</v>
      </c>
      <c r="BT131" s="66">
        <f t="shared" si="125"/>
        <v>0</v>
      </c>
      <c r="BU131" s="66">
        <f t="shared" si="125"/>
        <v>0</v>
      </c>
      <c r="BV131" s="66">
        <f t="shared" si="125"/>
        <v>0</v>
      </c>
      <c r="BW131" s="66">
        <f t="shared" si="125"/>
        <v>0</v>
      </c>
      <c r="BX131" s="66">
        <f t="shared" si="125"/>
        <v>0</v>
      </c>
      <c r="BY131" s="66">
        <f t="shared" si="125"/>
        <v>0</v>
      </c>
      <c r="BZ131" s="66">
        <f t="shared" si="126"/>
        <v>0</v>
      </c>
      <c r="CA131" s="66"/>
      <c r="CB131" s="66">
        <f t="shared" si="127"/>
        <v>0</v>
      </c>
      <c r="CC131" s="22">
        <f t="shared" si="110"/>
        <v>0</v>
      </c>
      <c r="CD131" s="66">
        <f t="shared" si="128"/>
        <v>0</v>
      </c>
      <c r="CE131" s="66"/>
      <c r="CF131" s="66"/>
      <c r="CG131" s="66"/>
      <c r="CH131" s="66"/>
      <c r="CI131" s="66"/>
      <c r="CJ131" s="66"/>
      <c r="CK131" s="66"/>
      <c r="CL131" s="66"/>
      <c r="CM131" s="66"/>
      <c r="CN131" s="66"/>
      <c r="CO131" s="66"/>
      <c r="CP131" s="66"/>
      <c r="CQ131" s="66"/>
      <c r="CR131" s="66"/>
      <c r="CS131" s="66"/>
      <c r="CT131" s="66"/>
      <c r="CU131" s="66"/>
      <c r="CV131" s="66"/>
      <c r="CW131" s="66"/>
      <c r="CX131" s="66"/>
      <c r="CY131" s="66"/>
      <c r="CZ131" s="66"/>
      <c r="DA131" s="66"/>
      <c r="DB131" s="22">
        <f t="shared" si="59"/>
        <v>1</v>
      </c>
      <c r="DC131" s="66">
        <f t="shared" si="129"/>
        <v>5000000</v>
      </c>
      <c r="DD131" s="66">
        <f t="shared" si="130"/>
        <v>0</v>
      </c>
      <c r="DE131" s="66">
        <f t="shared" si="130"/>
        <v>5000000</v>
      </c>
      <c r="DF131" s="66">
        <f t="shared" si="130"/>
        <v>0</v>
      </c>
      <c r="DG131" s="66">
        <f t="shared" si="131"/>
        <v>0</v>
      </c>
      <c r="DH131" s="66">
        <f t="shared" si="131"/>
        <v>0</v>
      </c>
      <c r="DI131" s="66">
        <f t="shared" si="131"/>
        <v>0</v>
      </c>
      <c r="DJ131" s="66">
        <f t="shared" si="131"/>
        <v>0</v>
      </c>
      <c r="DK131" s="66">
        <f t="shared" si="131"/>
        <v>0</v>
      </c>
      <c r="DL131" s="66">
        <f t="shared" si="131"/>
        <v>0</v>
      </c>
      <c r="DM131" s="66">
        <f t="shared" si="131"/>
        <v>0</v>
      </c>
      <c r="DN131" s="66">
        <f t="shared" si="131"/>
        <v>0</v>
      </c>
      <c r="DO131" s="66">
        <f t="shared" si="131"/>
        <v>0</v>
      </c>
      <c r="DP131" s="66">
        <f t="shared" si="131"/>
        <v>0</v>
      </c>
      <c r="DQ131" s="66">
        <f t="shared" si="131"/>
        <v>0</v>
      </c>
      <c r="DR131" s="66">
        <f t="shared" si="131"/>
        <v>0</v>
      </c>
      <c r="DS131" s="66">
        <f t="shared" si="131"/>
        <v>0</v>
      </c>
      <c r="DT131" s="66">
        <f t="shared" si="131"/>
        <v>0</v>
      </c>
      <c r="DU131" s="66">
        <f t="shared" si="131"/>
        <v>0</v>
      </c>
      <c r="DV131" s="66">
        <f t="shared" si="131"/>
        <v>0</v>
      </c>
      <c r="DW131" s="66">
        <f t="shared" si="132"/>
        <v>0</v>
      </c>
      <c r="DX131" s="66">
        <f t="shared" si="132"/>
        <v>0</v>
      </c>
      <c r="DY131" s="66"/>
      <c r="DZ131" s="66">
        <f t="shared" si="133"/>
        <v>0</v>
      </c>
      <c r="EC131" s="173">
        <v>5000000</v>
      </c>
      <c r="ED131" s="173">
        <v>0</v>
      </c>
      <c r="EE131" s="174">
        <f t="shared" si="94"/>
        <v>0</v>
      </c>
    </row>
    <row r="132" spans="1:135" ht="19.2" hidden="1" customHeight="1" x14ac:dyDescent="0.3">
      <c r="A132" s="73"/>
      <c r="B132" s="74"/>
      <c r="C132" s="70" t="s">
        <v>49</v>
      </c>
      <c r="D132" s="71" t="s">
        <v>48</v>
      </c>
      <c r="E132" s="68">
        <v>211</v>
      </c>
      <c r="F132" s="67" t="s">
        <v>21</v>
      </c>
      <c r="G132" s="66">
        <f t="shared" si="120"/>
        <v>560000000</v>
      </c>
      <c r="H132" s="35"/>
      <c r="I132" s="66"/>
      <c r="J132" s="66"/>
      <c r="K132" s="66">
        <v>560000000</v>
      </c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22">
        <f t="shared" si="81"/>
        <v>1</v>
      </c>
      <c r="AF132" s="66">
        <f t="shared" si="121"/>
        <v>560000000</v>
      </c>
      <c r="AG132" s="66"/>
      <c r="AH132" s="66"/>
      <c r="AI132" s="66"/>
      <c r="AJ132" s="66">
        <f>+'[1]OCTUBRE 2019'!$L$484</f>
        <v>560000000</v>
      </c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  <c r="AU132" s="66"/>
      <c r="AV132" s="66"/>
      <c r="AW132" s="66"/>
      <c r="AX132" s="66"/>
      <c r="AY132" s="66"/>
      <c r="AZ132" s="66"/>
      <c r="BA132" s="66"/>
      <c r="BB132" s="66"/>
      <c r="BC132" s="66"/>
      <c r="BD132" s="22">
        <f t="shared" si="57"/>
        <v>0</v>
      </c>
      <c r="BE132" s="66">
        <f t="shared" si="122"/>
        <v>0</v>
      </c>
      <c r="BF132" s="66"/>
      <c r="BG132" s="66"/>
      <c r="BH132" s="66"/>
      <c r="BI132" s="66">
        <f t="shared" si="124"/>
        <v>0</v>
      </c>
      <c r="BJ132" s="66"/>
      <c r="BK132" s="66"/>
      <c r="BL132" s="66"/>
      <c r="BM132" s="66"/>
      <c r="BN132" s="66"/>
      <c r="BO132" s="66"/>
      <c r="BP132" s="66"/>
      <c r="BQ132" s="66"/>
      <c r="BR132" s="66"/>
      <c r="BS132" s="66"/>
      <c r="BT132" s="66"/>
      <c r="BU132" s="66"/>
      <c r="BV132" s="66"/>
      <c r="BW132" s="66"/>
      <c r="BX132" s="66"/>
      <c r="BY132" s="66"/>
      <c r="BZ132" s="66"/>
      <c r="CA132" s="66"/>
      <c r="CB132" s="66"/>
      <c r="CC132" s="22">
        <f t="shared" si="110"/>
        <v>0</v>
      </c>
      <c r="CD132" s="66">
        <f t="shared" si="128"/>
        <v>0</v>
      </c>
      <c r="CE132" s="66"/>
      <c r="CF132" s="66"/>
      <c r="CG132" s="66"/>
      <c r="CH132" s="66"/>
      <c r="CI132" s="66"/>
      <c r="CJ132" s="66"/>
      <c r="CK132" s="66"/>
      <c r="CL132" s="66"/>
      <c r="CM132" s="66"/>
      <c r="CN132" s="66"/>
      <c r="CO132" s="66"/>
      <c r="CP132" s="66"/>
      <c r="CQ132" s="66"/>
      <c r="CR132" s="66"/>
      <c r="CS132" s="66"/>
      <c r="CT132" s="66"/>
      <c r="CU132" s="66"/>
      <c r="CV132" s="66"/>
      <c r="CW132" s="66"/>
      <c r="CX132" s="66"/>
      <c r="CY132" s="66"/>
      <c r="CZ132" s="66"/>
      <c r="DA132" s="66"/>
      <c r="DB132" s="22">
        <f t="shared" si="59"/>
        <v>1</v>
      </c>
      <c r="DC132" s="66">
        <f t="shared" si="129"/>
        <v>560000000</v>
      </c>
      <c r="DD132" s="66"/>
      <c r="DE132" s="66"/>
      <c r="DF132" s="66"/>
      <c r="DG132" s="66">
        <f t="shared" si="131"/>
        <v>560000000</v>
      </c>
      <c r="DH132" s="66"/>
      <c r="DI132" s="66"/>
      <c r="DJ132" s="66"/>
      <c r="DK132" s="66"/>
      <c r="DL132" s="66"/>
      <c r="DM132" s="66"/>
      <c r="DN132" s="66"/>
      <c r="DO132" s="66"/>
      <c r="DP132" s="66"/>
      <c r="DQ132" s="66"/>
      <c r="DR132" s="66"/>
      <c r="DS132" s="66"/>
      <c r="DT132" s="66"/>
      <c r="DU132" s="66"/>
      <c r="DV132" s="66"/>
      <c r="DW132" s="66"/>
      <c r="DX132" s="66"/>
      <c r="DY132" s="66"/>
      <c r="DZ132" s="66"/>
      <c r="EC132" s="173">
        <v>560000000</v>
      </c>
      <c r="ED132" s="173">
        <v>0</v>
      </c>
      <c r="EE132" s="174">
        <f t="shared" si="94"/>
        <v>0</v>
      </c>
    </row>
    <row r="133" spans="1:135" ht="23.4" hidden="1" customHeight="1" x14ac:dyDescent="0.3">
      <c r="A133" s="73"/>
      <c r="B133" s="74"/>
      <c r="C133" s="70" t="s">
        <v>47</v>
      </c>
      <c r="D133" s="71" t="s">
        <v>46</v>
      </c>
      <c r="E133" s="68">
        <v>211</v>
      </c>
      <c r="F133" s="67" t="s">
        <v>21</v>
      </c>
      <c r="G133" s="66">
        <f t="shared" si="120"/>
        <v>656000000</v>
      </c>
      <c r="H133" s="35"/>
      <c r="I133" s="66"/>
      <c r="J133" s="66"/>
      <c r="K133" s="66">
        <v>656000000</v>
      </c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  <c r="AA133" s="66"/>
      <c r="AB133" s="66"/>
      <c r="AC133" s="66"/>
      <c r="AD133" s="66"/>
      <c r="AE133" s="22">
        <f t="shared" si="81"/>
        <v>1</v>
      </c>
      <c r="AF133" s="66">
        <f t="shared" si="121"/>
        <v>656000000</v>
      </c>
      <c r="AG133" s="66"/>
      <c r="AH133" s="66"/>
      <c r="AI133" s="66"/>
      <c r="AJ133" s="66">
        <f>+'[1]OCTUBRE 2019'!$L$491</f>
        <v>656000000</v>
      </c>
      <c r="AK133" s="66"/>
      <c r="AL133" s="66"/>
      <c r="AM133" s="66"/>
      <c r="AN133" s="66"/>
      <c r="AO133" s="66"/>
      <c r="AP133" s="66"/>
      <c r="AQ133" s="66"/>
      <c r="AR133" s="66"/>
      <c r="AS133" s="66"/>
      <c r="AT133" s="66"/>
      <c r="AU133" s="66"/>
      <c r="AV133" s="66"/>
      <c r="AW133" s="66"/>
      <c r="AX133" s="66"/>
      <c r="AY133" s="66"/>
      <c r="AZ133" s="66"/>
      <c r="BA133" s="66"/>
      <c r="BB133" s="66"/>
      <c r="BC133" s="66"/>
      <c r="BD133" s="22">
        <f t="shared" ref="BD133:BD143" si="134">1-AE133</f>
        <v>0</v>
      </c>
      <c r="BE133" s="66">
        <f t="shared" si="122"/>
        <v>0</v>
      </c>
      <c r="BF133" s="66"/>
      <c r="BG133" s="66"/>
      <c r="BH133" s="66"/>
      <c r="BI133" s="66">
        <f t="shared" si="124"/>
        <v>0</v>
      </c>
      <c r="BJ133" s="66"/>
      <c r="BK133" s="66"/>
      <c r="BL133" s="66"/>
      <c r="BM133" s="66"/>
      <c r="BN133" s="66"/>
      <c r="BO133" s="66"/>
      <c r="BP133" s="66"/>
      <c r="BQ133" s="66"/>
      <c r="BR133" s="66"/>
      <c r="BS133" s="66"/>
      <c r="BT133" s="66"/>
      <c r="BU133" s="66"/>
      <c r="BV133" s="66"/>
      <c r="BW133" s="66"/>
      <c r="BX133" s="66"/>
      <c r="BY133" s="66"/>
      <c r="BZ133" s="66"/>
      <c r="CA133" s="66"/>
      <c r="CB133" s="66"/>
      <c r="CC133" s="22">
        <f t="shared" si="110"/>
        <v>0</v>
      </c>
      <c r="CD133" s="66">
        <f t="shared" si="128"/>
        <v>0</v>
      </c>
      <c r="CE133" s="66"/>
      <c r="CF133" s="66"/>
      <c r="CG133" s="66"/>
      <c r="CH133" s="66"/>
      <c r="CI133" s="66"/>
      <c r="CJ133" s="66"/>
      <c r="CK133" s="66"/>
      <c r="CL133" s="66"/>
      <c r="CM133" s="66"/>
      <c r="CN133" s="66"/>
      <c r="CO133" s="66"/>
      <c r="CP133" s="66"/>
      <c r="CQ133" s="66"/>
      <c r="CR133" s="66"/>
      <c r="CS133" s="66"/>
      <c r="CT133" s="66"/>
      <c r="CU133" s="66"/>
      <c r="CV133" s="66"/>
      <c r="CW133" s="66"/>
      <c r="CX133" s="66"/>
      <c r="CY133" s="66"/>
      <c r="CZ133" s="66"/>
      <c r="DA133" s="66"/>
      <c r="DB133" s="22">
        <f t="shared" ref="DB133:DB143" si="135">1-CC133</f>
        <v>1</v>
      </c>
      <c r="DC133" s="66">
        <f t="shared" si="129"/>
        <v>656000000</v>
      </c>
      <c r="DD133" s="66"/>
      <c r="DE133" s="66"/>
      <c r="DF133" s="66"/>
      <c r="DG133" s="66">
        <f t="shared" si="131"/>
        <v>656000000</v>
      </c>
      <c r="DH133" s="66"/>
      <c r="DI133" s="66"/>
      <c r="DJ133" s="66"/>
      <c r="DK133" s="66"/>
      <c r="DL133" s="66"/>
      <c r="DM133" s="66"/>
      <c r="DN133" s="66"/>
      <c r="DO133" s="66"/>
      <c r="DP133" s="66"/>
      <c r="DQ133" s="66"/>
      <c r="DR133" s="66"/>
      <c r="DS133" s="66"/>
      <c r="DT133" s="66"/>
      <c r="DU133" s="66"/>
      <c r="DV133" s="66"/>
      <c r="DW133" s="66"/>
      <c r="DX133" s="66"/>
      <c r="DY133" s="66"/>
      <c r="DZ133" s="66"/>
      <c r="EC133" s="173">
        <v>656000000</v>
      </c>
      <c r="ED133" s="173">
        <v>0</v>
      </c>
      <c r="EE133" s="174">
        <f t="shared" si="94"/>
        <v>0</v>
      </c>
    </row>
    <row r="134" spans="1:135" ht="27.6" hidden="1" customHeight="1" x14ac:dyDescent="0.3">
      <c r="A134" s="207" t="s">
        <v>45</v>
      </c>
      <c r="B134" s="209" t="s">
        <v>44</v>
      </c>
      <c r="C134" s="70" t="s">
        <v>43</v>
      </c>
      <c r="D134" s="71" t="s">
        <v>42</v>
      </c>
      <c r="E134" s="68">
        <v>510</v>
      </c>
      <c r="F134" s="67" t="s">
        <v>35</v>
      </c>
      <c r="G134" s="66">
        <f t="shared" si="120"/>
        <v>130000000</v>
      </c>
      <c r="H134" s="66"/>
      <c r="I134" s="66">
        <v>120000000</v>
      </c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>
        <v>10000000</v>
      </c>
      <c r="Z134" s="66"/>
      <c r="AA134" s="66"/>
      <c r="AB134" s="66"/>
      <c r="AC134" s="66"/>
      <c r="AD134" s="66"/>
      <c r="AE134" s="22">
        <f t="shared" si="81"/>
        <v>1</v>
      </c>
      <c r="AF134" s="66">
        <f t="shared" si="121"/>
        <v>130000000</v>
      </c>
      <c r="AG134" s="66"/>
      <c r="AH134" s="66">
        <f>+'[1]OCTUBRE 2019'!$K$4018</f>
        <v>120000000</v>
      </c>
      <c r="AI134" s="66"/>
      <c r="AJ134" s="66"/>
      <c r="AK134" s="66"/>
      <c r="AL134" s="66"/>
      <c r="AM134" s="66"/>
      <c r="AN134" s="66"/>
      <c r="AO134" s="66"/>
      <c r="AP134" s="66"/>
      <c r="AQ134" s="66"/>
      <c r="AR134" s="66"/>
      <c r="AS134" s="66"/>
      <c r="AT134" s="66"/>
      <c r="AU134" s="66"/>
      <c r="AV134" s="66"/>
      <c r="AW134" s="66"/>
      <c r="AX134" s="66">
        <f>+'[3]JULIO 2019'!$Z$2727</f>
        <v>10000000</v>
      </c>
      <c r="AY134" s="66"/>
      <c r="AZ134" s="66"/>
      <c r="BA134" s="66"/>
      <c r="BB134" s="66"/>
      <c r="BC134" s="66"/>
      <c r="BD134" s="22">
        <f t="shared" si="134"/>
        <v>0</v>
      </c>
      <c r="BE134" s="66">
        <f t="shared" si="122"/>
        <v>0</v>
      </c>
      <c r="BF134" s="66">
        <f t="shared" ref="BF134:BH142" si="136">H134-AG134</f>
        <v>0</v>
      </c>
      <c r="BG134" s="66">
        <f t="shared" si="136"/>
        <v>0</v>
      </c>
      <c r="BH134" s="66">
        <f t="shared" si="136"/>
        <v>0</v>
      </c>
      <c r="BI134" s="66">
        <f t="shared" si="124"/>
        <v>0</v>
      </c>
      <c r="BJ134" s="66">
        <f t="shared" ref="BJ134:BY142" si="137">L134-AK134</f>
        <v>0</v>
      </c>
      <c r="BK134" s="66">
        <f t="shared" si="137"/>
        <v>0</v>
      </c>
      <c r="BL134" s="66">
        <f t="shared" si="137"/>
        <v>0</v>
      </c>
      <c r="BM134" s="66">
        <f t="shared" si="137"/>
        <v>0</v>
      </c>
      <c r="BN134" s="66">
        <f t="shared" si="137"/>
        <v>0</v>
      </c>
      <c r="BO134" s="66">
        <f t="shared" si="137"/>
        <v>0</v>
      </c>
      <c r="BP134" s="66">
        <f t="shared" si="137"/>
        <v>0</v>
      </c>
      <c r="BQ134" s="66">
        <f t="shared" si="137"/>
        <v>0</v>
      </c>
      <c r="BR134" s="66">
        <f t="shared" si="137"/>
        <v>0</v>
      </c>
      <c r="BS134" s="66">
        <f t="shared" si="137"/>
        <v>0</v>
      </c>
      <c r="BT134" s="66">
        <f t="shared" si="137"/>
        <v>0</v>
      </c>
      <c r="BU134" s="66">
        <f t="shared" si="137"/>
        <v>0</v>
      </c>
      <c r="BV134" s="66">
        <f t="shared" si="137"/>
        <v>0</v>
      </c>
      <c r="BW134" s="66">
        <f t="shared" si="137"/>
        <v>0</v>
      </c>
      <c r="BX134" s="66">
        <f t="shared" si="137"/>
        <v>0</v>
      </c>
      <c r="BY134" s="66">
        <f t="shared" si="137"/>
        <v>0</v>
      </c>
      <c r="BZ134" s="66">
        <f t="shared" ref="BZ134:BZ142" si="138">AB134-BA134</f>
        <v>0</v>
      </c>
      <c r="CA134" s="66"/>
      <c r="CB134" s="66">
        <f t="shared" ref="CB134:CB141" si="139">AD134-BC134</f>
        <v>0</v>
      </c>
      <c r="CC134" s="22">
        <f t="shared" si="110"/>
        <v>0.99979486923076921</v>
      </c>
      <c r="CD134" s="66">
        <f t="shared" si="128"/>
        <v>129973333</v>
      </c>
      <c r="CE134" s="66"/>
      <c r="CF134" s="66">
        <f>+'[2]SEPTIEMBRE 2019'!$H$3589-'[2]SEPTIEMBRE 2019'!$H$3609+'[1]OCTUBRE 2019'!$H$4037</f>
        <v>120000000</v>
      </c>
      <c r="CG134" s="66"/>
      <c r="CH134" s="66"/>
      <c r="CI134" s="66"/>
      <c r="CJ134" s="66"/>
      <c r="CK134" s="66"/>
      <c r="CL134" s="66"/>
      <c r="CM134" s="66"/>
      <c r="CN134" s="66"/>
      <c r="CO134" s="66"/>
      <c r="CP134" s="66"/>
      <c r="CQ134" s="66"/>
      <c r="CR134" s="66"/>
      <c r="CS134" s="66"/>
      <c r="CT134" s="66"/>
      <c r="CU134" s="66"/>
      <c r="CV134" s="66">
        <f>+'[3]JULIO 2019'!$H$2745</f>
        <v>9973333</v>
      </c>
      <c r="CW134" s="66"/>
      <c r="CX134" s="66"/>
      <c r="CY134" s="66"/>
      <c r="CZ134" s="66"/>
      <c r="DA134" s="66"/>
      <c r="DB134" s="22">
        <f t="shared" si="135"/>
        <v>2.0513076923078799E-4</v>
      </c>
      <c r="DC134" s="66">
        <f t="shared" si="129"/>
        <v>26667</v>
      </c>
      <c r="DD134" s="66">
        <f t="shared" ref="DD134:DS142" si="140">H134-CE134</f>
        <v>0</v>
      </c>
      <c r="DE134" s="66">
        <f t="shared" si="140"/>
        <v>0</v>
      </c>
      <c r="DF134" s="66">
        <f t="shared" si="140"/>
        <v>0</v>
      </c>
      <c r="DG134" s="66">
        <f t="shared" si="131"/>
        <v>0</v>
      </c>
      <c r="DH134" s="66">
        <f t="shared" si="131"/>
        <v>0</v>
      </c>
      <c r="DI134" s="66">
        <f t="shared" si="131"/>
        <v>0</v>
      </c>
      <c r="DJ134" s="66">
        <f t="shared" si="131"/>
        <v>0</v>
      </c>
      <c r="DK134" s="66">
        <f t="shared" si="131"/>
        <v>0</v>
      </c>
      <c r="DL134" s="66">
        <f t="shared" si="131"/>
        <v>0</v>
      </c>
      <c r="DM134" s="66">
        <f t="shared" si="131"/>
        <v>0</v>
      </c>
      <c r="DN134" s="66">
        <f t="shared" si="131"/>
        <v>0</v>
      </c>
      <c r="DO134" s="66">
        <f t="shared" si="131"/>
        <v>0</v>
      </c>
      <c r="DP134" s="66">
        <f t="shared" si="131"/>
        <v>0</v>
      </c>
      <c r="DQ134" s="66">
        <f t="shared" si="131"/>
        <v>0</v>
      </c>
      <c r="DR134" s="66">
        <f t="shared" si="131"/>
        <v>0</v>
      </c>
      <c r="DS134" s="66">
        <f t="shared" si="131"/>
        <v>0</v>
      </c>
      <c r="DT134" s="66">
        <f t="shared" si="131"/>
        <v>0</v>
      </c>
      <c r="DU134" s="66">
        <f t="shared" si="131"/>
        <v>26667</v>
      </c>
      <c r="DV134" s="66">
        <f t="shared" si="131"/>
        <v>0</v>
      </c>
      <c r="DW134" s="66">
        <f t="shared" ref="DW134:DX142" si="141">AA134-CX134</f>
        <v>0</v>
      </c>
      <c r="DX134" s="66">
        <f t="shared" si="141"/>
        <v>0</v>
      </c>
      <c r="DY134" s="66"/>
      <c r="DZ134" s="66">
        <f t="shared" ref="DZ134:DZ141" si="142">AD134-DA134</f>
        <v>0</v>
      </c>
      <c r="EC134" s="173">
        <v>130000000</v>
      </c>
      <c r="ED134" s="173">
        <v>129973333</v>
      </c>
      <c r="EE134" s="174">
        <f t="shared" si="94"/>
        <v>0.99979486923076921</v>
      </c>
    </row>
    <row r="135" spans="1:135" ht="31.2" hidden="1" customHeight="1" x14ac:dyDescent="0.3">
      <c r="A135" s="207"/>
      <c r="B135" s="210"/>
      <c r="C135" s="71" t="s">
        <v>41</v>
      </c>
      <c r="D135" s="68" t="s">
        <v>40</v>
      </c>
      <c r="E135" s="67">
        <v>510</v>
      </c>
      <c r="F135" s="66" t="s">
        <v>35</v>
      </c>
      <c r="G135" s="66">
        <f t="shared" si="120"/>
        <v>128270473</v>
      </c>
      <c r="H135" s="66"/>
      <c r="I135" s="66">
        <v>118270473</v>
      </c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>
        <v>10000000</v>
      </c>
      <c r="Z135" s="66"/>
      <c r="AA135" s="66"/>
      <c r="AB135" s="66"/>
      <c r="AC135" s="66"/>
      <c r="AD135" s="66"/>
      <c r="AE135" s="22">
        <f t="shared" si="81"/>
        <v>1</v>
      </c>
      <c r="AF135" s="66">
        <f t="shared" si="121"/>
        <v>128270473</v>
      </c>
      <c r="AG135" s="66"/>
      <c r="AH135" s="66">
        <f>+'[1]OCTUBRE 2019'!$K$4042</f>
        <v>118270473</v>
      </c>
      <c r="AI135" s="66"/>
      <c r="AJ135" s="66"/>
      <c r="AK135" s="66"/>
      <c r="AL135" s="66"/>
      <c r="AM135" s="66"/>
      <c r="AN135" s="66"/>
      <c r="AO135" s="66"/>
      <c r="AP135" s="66"/>
      <c r="AQ135" s="66"/>
      <c r="AR135" s="66"/>
      <c r="AS135" s="66"/>
      <c r="AT135" s="66"/>
      <c r="AU135" s="66"/>
      <c r="AV135" s="66"/>
      <c r="AW135" s="66"/>
      <c r="AX135" s="66">
        <f>+'[1]OCTUBRE 2019'!$AA$4042</f>
        <v>10000000</v>
      </c>
      <c r="AY135" s="66"/>
      <c r="AZ135" s="66"/>
      <c r="BA135" s="66"/>
      <c r="BB135" s="66"/>
      <c r="BC135" s="66"/>
      <c r="BD135" s="22">
        <f t="shared" si="134"/>
        <v>0</v>
      </c>
      <c r="BE135" s="66">
        <f t="shared" si="122"/>
        <v>0</v>
      </c>
      <c r="BF135" s="66">
        <f t="shared" si="136"/>
        <v>0</v>
      </c>
      <c r="BG135" s="66">
        <f t="shared" si="136"/>
        <v>0</v>
      </c>
      <c r="BH135" s="66">
        <f t="shared" si="136"/>
        <v>0</v>
      </c>
      <c r="BI135" s="66">
        <f t="shared" si="124"/>
        <v>0</v>
      </c>
      <c r="BJ135" s="66">
        <f t="shared" si="137"/>
        <v>0</v>
      </c>
      <c r="BK135" s="66">
        <f t="shared" si="137"/>
        <v>0</v>
      </c>
      <c r="BL135" s="66">
        <f t="shared" si="137"/>
        <v>0</v>
      </c>
      <c r="BM135" s="66">
        <f t="shared" si="137"/>
        <v>0</v>
      </c>
      <c r="BN135" s="66">
        <f t="shared" si="137"/>
        <v>0</v>
      </c>
      <c r="BO135" s="66">
        <f t="shared" si="137"/>
        <v>0</v>
      </c>
      <c r="BP135" s="66">
        <f t="shared" si="137"/>
        <v>0</v>
      </c>
      <c r="BQ135" s="66">
        <f t="shared" si="137"/>
        <v>0</v>
      </c>
      <c r="BR135" s="66">
        <f t="shared" si="137"/>
        <v>0</v>
      </c>
      <c r="BS135" s="66">
        <f t="shared" si="137"/>
        <v>0</v>
      </c>
      <c r="BT135" s="66">
        <f t="shared" si="137"/>
        <v>0</v>
      </c>
      <c r="BU135" s="66">
        <f t="shared" si="137"/>
        <v>0</v>
      </c>
      <c r="BV135" s="66">
        <f t="shared" si="137"/>
        <v>0</v>
      </c>
      <c r="BW135" s="66">
        <f t="shared" si="137"/>
        <v>0</v>
      </c>
      <c r="BX135" s="66">
        <f t="shared" si="137"/>
        <v>0</v>
      </c>
      <c r="BY135" s="66">
        <f t="shared" si="137"/>
        <v>0</v>
      </c>
      <c r="BZ135" s="66">
        <f t="shared" si="138"/>
        <v>0</v>
      </c>
      <c r="CA135" s="66"/>
      <c r="CB135" s="66">
        <f t="shared" si="139"/>
        <v>0</v>
      </c>
      <c r="CC135" s="22">
        <f t="shared" si="110"/>
        <v>0.99999999220397351</v>
      </c>
      <c r="CD135" s="66">
        <f t="shared" si="128"/>
        <v>128270472</v>
      </c>
      <c r="CE135" s="66"/>
      <c r="CF135" s="66">
        <f>+'[1]OCTUBRE 2019'!$H$4043+'[1]OCTUBRE 2019'!$H$4060</f>
        <v>118270472</v>
      </c>
      <c r="CG135" s="66"/>
      <c r="CH135" s="66"/>
      <c r="CI135" s="66"/>
      <c r="CJ135" s="66"/>
      <c r="CK135" s="66"/>
      <c r="CL135" s="66"/>
      <c r="CM135" s="66"/>
      <c r="CN135" s="66"/>
      <c r="CO135" s="66"/>
      <c r="CP135" s="66"/>
      <c r="CQ135" s="66"/>
      <c r="CR135" s="66"/>
      <c r="CS135" s="66"/>
      <c r="CT135" s="66"/>
      <c r="CU135" s="66"/>
      <c r="CV135" s="66">
        <f>+'[3]JULIO 2019'!$Z$2753+'[1]OCTUBRE 2019'!$H$4063</f>
        <v>10000000</v>
      </c>
      <c r="CW135" s="66"/>
      <c r="CX135" s="66"/>
      <c r="CY135" s="66"/>
      <c r="CZ135" s="66"/>
      <c r="DA135" s="66"/>
      <c r="DB135" s="22">
        <f t="shared" si="135"/>
        <v>7.7960264910359456E-9</v>
      </c>
      <c r="DC135" s="66">
        <f t="shared" si="129"/>
        <v>1</v>
      </c>
      <c r="DD135" s="66">
        <f t="shared" si="140"/>
        <v>0</v>
      </c>
      <c r="DE135" s="66">
        <f t="shared" si="140"/>
        <v>1</v>
      </c>
      <c r="DF135" s="66">
        <f t="shared" si="140"/>
        <v>0</v>
      </c>
      <c r="DG135" s="66">
        <f t="shared" si="131"/>
        <v>0</v>
      </c>
      <c r="DH135" s="66">
        <f t="shared" si="131"/>
        <v>0</v>
      </c>
      <c r="DI135" s="66">
        <f t="shared" si="131"/>
        <v>0</v>
      </c>
      <c r="DJ135" s="66">
        <f t="shared" si="131"/>
        <v>0</v>
      </c>
      <c r="DK135" s="66">
        <f t="shared" si="131"/>
        <v>0</v>
      </c>
      <c r="DL135" s="66">
        <f t="shared" si="131"/>
        <v>0</v>
      </c>
      <c r="DM135" s="66">
        <f t="shared" si="131"/>
        <v>0</v>
      </c>
      <c r="DN135" s="66">
        <f t="shared" si="131"/>
        <v>0</v>
      </c>
      <c r="DO135" s="66">
        <f t="shared" si="131"/>
        <v>0</v>
      </c>
      <c r="DP135" s="66">
        <f t="shared" si="131"/>
        <v>0</v>
      </c>
      <c r="DQ135" s="66">
        <f t="shared" si="131"/>
        <v>0</v>
      </c>
      <c r="DR135" s="66">
        <f t="shared" si="131"/>
        <v>0</v>
      </c>
      <c r="DS135" s="66">
        <f t="shared" si="131"/>
        <v>0</v>
      </c>
      <c r="DT135" s="66">
        <f t="shared" si="131"/>
        <v>0</v>
      </c>
      <c r="DU135" s="66">
        <f t="shared" si="131"/>
        <v>0</v>
      </c>
      <c r="DV135" s="66">
        <f t="shared" si="131"/>
        <v>0</v>
      </c>
      <c r="DW135" s="66">
        <f t="shared" si="141"/>
        <v>0</v>
      </c>
      <c r="DX135" s="66">
        <f t="shared" si="141"/>
        <v>0</v>
      </c>
      <c r="DY135" s="66"/>
      <c r="DZ135" s="66">
        <f t="shared" si="142"/>
        <v>0</v>
      </c>
      <c r="EC135" s="173">
        <v>128270473</v>
      </c>
      <c r="ED135" s="173">
        <v>128270472</v>
      </c>
      <c r="EE135" s="174">
        <f t="shared" si="94"/>
        <v>0.99999999220397351</v>
      </c>
    </row>
    <row r="136" spans="1:135" ht="27.6" hidden="1" customHeight="1" x14ac:dyDescent="0.3">
      <c r="A136" s="207"/>
      <c r="B136" s="210"/>
      <c r="C136" s="70" t="s">
        <v>39</v>
      </c>
      <c r="D136" s="71" t="s">
        <v>38</v>
      </c>
      <c r="E136" s="68">
        <v>510</v>
      </c>
      <c r="F136" s="67" t="s">
        <v>35</v>
      </c>
      <c r="G136" s="66">
        <f t="shared" si="120"/>
        <v>160000000</v>
      </c>
      <c r="H136" s="66"/>
      <c r="I136" s="66">
        <v>150000000</v>
      </c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>
        <v>10000000</v>
      </c>
      <c r="Z136" s="66"/>
      <c r="AA136" s="66"/>
      <c r="AB136" s="66"/>
      <c r="AC136" s="66"/>
      <c r="AD136" s="66"/>
      <c r="AE136" s="22">
        <f t="shared" si="81"/>
        <v>0.93757141249999998</v>
      </c>
      <c r="AF136" s="66">
        <f t="shared" si="121"/>
        <v>150011426</v>
      </c>
      <c r="AG136" s="66"/>
      <c r="AH136" s="66">
        <f>+'[1]OCTUBRE 2019'!$K$4070</f>
        <v>149212900</v>
      </c>
      <c r="AI136" s="66"/>
      <c r="AJ136" s="66"/>
      <c r="AK136" s="66"/>
      <c r="AL136" s="66"/>
      <c r="AM136" s="66"/>
      <c r="AN136" s="66"/>
      <c r="AO136" s="66"/>
      <c r="AP136" s="66"/>
      <c r="AQ136" s="66"/>
      <c r="AR136" s="66"/>
      <c r="AS136" s="66"/>
      <c r="AT136" s="66"/>
      <c r="AU136" s="66"/>
      <c r="AV136" s="66"/>
      <c r="AW136" s="66"/>
      <c r="AX136" s="66">
        <f>+'[1]OCTUBRE 2019'!$AA$4070</f>
        <v>798526</v>
      </c>
      <c r="AY136" s="66"/>
      <c r="AZ136" s="66"/>
      <c r="BA136" s="66"/>
      <c r="BB136" s="66"/>
      <c r="BC136" s="66"/>
      <c r="BD136" s="22">
        <f t="shared" si="134"/>
        <v>6.2428587500000021E-2</v>
      </c>
      <c r="BE136" s="66">
        <f t="shared" si="122"/>
        <v>9988574</v>
      </c>
      <c r="BF136" s="66">
        <f t="shared" si="136"/>
        <v>0</v>
      </c>
      <c r="BG136" s="66">
        <f t="shared" si="136"/>
        <v>787100</v>
      </c>
      <c r="BH136" s="66">
        <f t="shared" si="136"/>
        <v>0</v>
      </c>
      <c r="BI136" s="66">
        <f t="shared" si="124"/>
        <v>0</v>
      </c>
      <c r="BJ136" s="66">
        <f t="shared" si="137"/>
        <v>0</v>
      </c>
      <c r="BK136" s="66">
        <f t="shared" si="137"/>
        <v>0</v>
      </c>
      <c r="BL136" s="66">
        <f t="shared" si="137"/>
        <v>0</v>
      </c>
      <c r="BM136" s="66">
        <f t="shared" si="137"/>
        <v>0</v>
      </c>
      <c r="BN136" s="66">
        <f t="shared" si="137"/>
        <v>0</v>
      </c>
      <c r="BO136" s="66">
        <f t="shared" si="137"/>
        <v>0</v>
      </c>
      <c r="BP136" s="66">
        <f t="shared" si="137"/>
        <v>0</v>
      </c>
      <c r="BQ136" s="66">
        <f t="shared" si="137"/>
        <v>0</v>
      </c>
      <c r="BR136" s="66">
        <f t="shared" si="137"/>
        <v>0</v>
      </c>
      <c r="BS136" s="66">
        <f t="shared" si="137"/>
        <v>0</v>
      </c>
      <c r="BT136" s="66">
        <f t="shared" si="137"/>
        <v>0</v>
      </c>
      <c r="BU136" s="66">
        <f t="shared" si="137"/>
        <v>0</v>
      </c>
      <c r="BV136" s="66">
        <f t="shared" si="137"/>
        <v>0</v>
      </c>
      <c r="BW136" s="66">
        <f t="shared" si="137"/>
        <v>9201474</v>
      </c>
      <c r="BX136" s="66">
        <f t="shared" si="137"/>
        <v>0</v>
      </c>
      <c r="BY136" s="66">
        <f t="shared" si="137"/>
        <v>0</v>
      </c>
      <c r="BZ136" s="66">
        <f t="shared" si="138"/>
        <v>0</v>
      </c>
      <c r="CA136" s="66"/>
      <c r="CB136" s="66">
        <f t="shared" si="139"/>
        <v>0</v>
      </c>
      <c r="CC136" s="22">
        <f t="shared" si="110"/>
        <v>0.93757141249999998</v>
      </c>
      <c r="CD136" s="66">
        <f t="shared" si="128"/>
        <v>150011426</v>
      </c>
      <c r="CE136" s="66"/>
      <c r="CF136" s="66">
        <f>+'[1]OCTUBRE 2019'!$H$4071</f>
        <v>149212900</v>
      </c>
      <c r="CG136" s="66"/>
      <c r="CH136" s="66"/>
      <c r="CI136" s="66"/>
      <c r="CJ136" s="66"/>
      <c r="CK136" s="66"/>
      <c r="CL136" s="66"/>
      <c r="CM136" s="66"/>
      <c r="CN136" s="66"/>
      <c r="CO136" s="66"/>
      <c r="CP136" s="66"/>
      <c r="CQ136" s="66"/>
      <c r="CR136" s="66"/>
      <c r="CS136" s="66"/>
      <c r="CT136" s="66"/>
      <c r="CU136" s="66"/>
      <c r="CV136" s="66">
        <f>+'[1]OCTUBRE 2019'!$H$4084</f>
        <v>798526</v>
      </c>
      <c r="CW136" s="66"/>
      <c r="CX136" s="66"/>
      <c r="CY136" s="66"/>
      <c r="CZ136" s="66"/>
      <c r="DA136" s="66"/>
      <c r="DB136" s="22">
        <f t="shared" si="135"/>
        <v>6.2428587500000021E-2</v>
      </c>
      <c r="DC136" s="66">
        <f t="shared" si="129"/>
        <v>9988574</v>
      </c>
      <c r="DD136" s="66">
        <f t="shared" si="140"/>
        <v>0</v>
      </c>
      <c r="DE136" s="66">
        <f t="shared" si="140"/>
        <v>787100</v>
      </c>
      <c r="DF136" s="66">
        <f t="shared" si="140"/>
        <v>0</v>
      </c>
      <c r="DG136" s="66">
        <f t="shared" si="131"/>
        <v>0</v>
      </c>
      <c r="DH136" s="66">
        <f t="shared" si="131"/>
        <v>0</v>
      </c>
      <c r="DI136" s="66">
        <f t="shared" si="131"/>
        <v>0</v>
      </c>
      <c r="DJ136" s="66">
        <f t="shared" si="131"/>
        <v>0</v>
      </c>
      <c r="DK136" s="66">
        <f t="shared" si="131"/>
        <v>0</v>
      </c>
      <c r="DL136" s="66">
        <f t="shared" si="131"/>
        <v>0</v>
      </c>
      <c r="DM136" s="66">
        <f t="shared" si="131"/>
        <v>0</v>
      </c>
      <c r="DN136" s="66">
        <f t="shared" si="131"/>
        <v>0</v>
      </c>
      <c r="DO136" s="66">
        <f t="shared" si="131"/>
        <v>0</v>
      </c>
      <c r="DP136" s="66">
        <f t="shared" si="131"/>
        <v>0</v>
      </c>
      <c r="DQ136" s="66">
        <f t="shared" si="131"/>
        <v>0</v>
      </c>
      <c r="DR136" s="66">
        <f t="shared" si="131"/>
        <v>0</v>
      </c>
      <c r="DS136" s="66">
        <f t="shared" si="131"/>
        <v>0</v>
      </c>
      <c r="DT136" s="66">
        <f t="shared" si="131"/>
        <v>0</v>
      </c>
      <c r="DU136" s="66">
        <f t="shared" si="131"/>
        <v>9201474</v>
      </c>
      <c r="DV136" s="66">
        <f t="shared" si="131"/>
        <v>0</v>
      </c>
      <c r="DW136" s="66">
        <f t="shared" si="141"/>
        <v>0</v>
      </c>
      <c r="DX136" s="66">
        <f t="shared" si="141"/>
        <v>0</v>
      </c>
      <c r="DY136" s="66"/>
      <c r="DZ136" s="66">
        <f t="shared" si="142"/>
        <v>0</v>
      </c>
      <c r="EC136" s="173">
        <v>160000000</v>
      </c>
      <c r="ED136" s="173">
        <v>150011426</v>
      </c>
      <c r="EE136" s="174">
        <f t="shared" si="94"/>
        <v>0.93757141249999998</v>
      </c>
    </row>
    <row r="137" spans="1:135" ht="18.600000000000001" hidden="1" customHeight="1" x14ac:dyDescent="0.3">
      <c r="A137" s="207"/>
      <c r="B137" s="210"/>
      <c r="C137" s="70" t="s">
        <v>37</v>
      </c>
      <c r="D137" s="71" t="s">
        <v>36</v>
      </c>
      <c r="E137" s="68">
        <v>510</v>
      </c>
      <c r="F137" s="67" t="s">
        <v>35</v>
      </c>
      <c r="G137" s="66">
        <f t="shared" si="120"/>
        <v>14000000</v>
      </c>
      <c r="H137" s="66"/>
      <c r="I137" s="66">
        <v>7000000</v>
      </c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>
        <v>7000000</v>
      </c>
      <c r="Z137" s="66"/>
      <c r="AA137" s="66"/>
      <c r="AB137" s="66"/>
      <c r="AC137" s="66"/>
      <c r="AD137" s="66"/>
      <c r="AE137" s="22">
        <f t="shared" si="81"/>
        <v>0.5</v>
      </c>
      <c r="AF137" s="66">
        <f t="shared" si="121"/>
        <v>7000000</v>
      </c>
      <c r="AG137" s="66"/>
      <c r="AH137" s="66"/>
      <c r="AI137" s="66"/>
      <c r="AJ137" s="66"/>
      <c r="AK137" s="66"/>
      <c r="AL137" s="66"/>
      <c r="AM137" s="66"/>
      <c r="AN137" s="66"/>
      <c r="AO137" s="66"/>
      <c r="AP137" s="66"/>
      <c r="AQ137" s="66"/>
      <c r="AR137" s="66"/>
      <c r="AS137" s="66"/>
      <c r="AT137" s="66"/>
      <c r="AU137" s="66"/>
      <c r="AV137" s="66"/>
      <c r="AW137" s="66"/>
      <c r="AX137" s="66">
        <f>+'[1]OCTUBRE 2019'!$AA$4090</f>
        <v>7000000</v>
      </c>
      <c r="AY137" s="66"/>
      <c r="AZ137" s="66"/>
      <c r="BA137" s="66"/>
      <c r="BB137" s="66"/>
      <c r="BC137" s="66"/>
      <c r="BD137" s="22">
        <f t="shared" si="134"/>
        <v>0.5</v>
      </c>
      <c r="BE137" s="66">
        <f t="shared" si="122"/>
        <v>7000000</v>
      </c>
      <c r="BF137" s="66">
        <f t="shared" si="136"/>
        <v>0</v>
      </c>
      <c r="BG137" s="66">
        <f t="shared" si="136"/>
        <v>7000000</v>
      </c>
      <c r="BH137" s="66">
        <f t="shared" si="136"/>
        <v>0</v>
      </c>
      <c r="BI137" s="66">
        <f t="shared" si="124"/>
        <v>0</v>
      </c>
      <c r="BJ137" s="66">
        <f t="shared" si="137"/>
        <v>0</v>
      </c>
      <c r="BK137" s="66">
        <f t="shared" si="137"/>
        <v>0</v>
      </c>
      <c r="BL137" s="66">
        <f t="shared" si="137"/>
        <v>0</v>
      </c>
      <c r="BM137" s="66">
        <f t="shared" si="137"/>
        <v>0</v>
      </c>
      <c r="BN137" s="66">
        <f t="shared" si="137"/>
        <v>0</v>
      </c>
      <c r="BO137" s="66">
        <f t="shared" si="137"/>
        <v>0</v>
      </c>
      <c r="BP137" s="66">
        <f t="shared" si="137"/>
        <v>0</v>
      </c>
      <c r="BQ137" s="66">
        <f t="shared" si="137"/>
        <v>0</v>
      </c>
      <c r="BR137" s="66">
        <f t="shared" si="137"/>
        <v>0</v>
      </c>
      <c r="BS137" s="66">
        <f t="shared" si="137"/>
        <v>0</v>
      </c>
      <c r="BT137" s="66">
        <f t="shared" si="137"/>
        <v>0</v>
      </c>
      <c r="BU137" s="66">
        <f t="shared" si="137"/>
        <v>0</v>
      </c>
      <c r="BV137" s="66">
        <f t="shared" si="137"/>
        <v>0</v>
      </c>
      <c r="BW137" s="66">
        <f t="shared" si="137"/>
        <v>0</v>
      </c>
      <c r="BX137" s="66">
        <f t="shared" si="137"/>
        <v>0</v>
      </c>
      <c r="BY137" s="66">
        <f t="shared" si="137"/>
        <v>0</v>
      </c>
      <c r="BZ137" s="66">
        <f t="shared" si="138"/>
        <v>0</v>
      </c>
      <c r="CA137" s="66"/>
      <c r="CB137" s="66">
        <f t="shared" si="139"/>
        <v>0</v>
      </c>
      <c r="CC137" s="22">
        <f t="shared" si="110"/>
        <v>0.38950000000000001</v>
      </c>
      <c r="CD137" s="66">
        <f t="shared" si="128"/>
        <v>5453000</v>
      </c>
      <c r="CE137" s="66"/>
      <c r="CF137" s="66"/>
      <c r="CG137" s="66"/>
      <c r="CH137" s="66"/>
      <c r="CI137" s="66"/>
      <c r="CJ137" s="66"/>
      <c r="CK137" s="66"/>
      <c r="CL137" s="66"/>
      <c r="CM137" s="66"/>
      <c r="CN137" s="66"/>
      <c r="CO137" s="66"/>
      <c r="CP137" s="66"/>
      <c r="CQ137" s="66"/>
      <c r="CR137" s="66"/>
      <c r="CS137" s="66"/>
      <c r="CT137" s="66"/>
      <c r="CU137" s="66"/>
      <c r="CV137" s="66">
        <f>+'[1]OCTUBRE 2019'!$H$4088</f>
        <v>5453000</v>
      </c>
      <c r="CW137" s="66"/>
      <c r="CX137" s="66"/>
      <c r="CY137" s="66"/>
      <c r="CZ137" s="66"/>
      <c r="DA137" s="66"/>
      <c r="DB137" s="22">
        <f t="shared" si="135"/>
        <v>0.61050000000000004</v>
      </c>
      <c r="DC137" s="66">
        <f t="shared" si="129"/>
        <v>8547000</v>
      </c>
      <c r="DD137" s="66">
        <f t="shared" si="140"/>
        <v>0</v>
      </c>
      <c r="DE137" s="66">
        <f t="shared" si="140"/>
        <v>7000000</v>
      </c>
      <c r="DF137" s="66">
        <f t="shared" si="140"/>
        <v>0</v>
      </c>
      <c r="DG137" s="66">
        <f t="shared" si="131"/>
        <v>0</v>
      </c>
      <c r="DH137" s="66">
        <f t="shared" si="131"/>
        <v>0</v>
      </c>
      <c r="DI137" s="66">
        <f t="shared" si="131"/>
        <v>0</v>
      </c>
      <c r="DJ137" s="66">
        <f t="shared" si="131"/>
        <v>0</v>
      </c>
      <c r="DK137" s="66">
        <f t="shared" si="131"/>
        <v>0</v>
      </c>
      <c r="DL137" s="66">
        <f t="shared" si="131"/>
        <v>0</v>
      </c>
      <c r="DM137" s="66">
        <f t="shared" si="131"/>
        <v>0</v>
      </c>
      <c r="DN137" s="66">
        <f t="shared" si="131"/>
        <v>0</v>
      </c>
      <c r="DO137" s="66">
        <f t="shared" si="131"/>
        <v>0</v>
      </c>
      <c r="DP137" s="66">
        <f t="shared" si="131"/>
        <v>0</v>
      </c>
      <c r="DQ137" s="66">
        <f t="shared" si="131"/>
        <v>0</v>
      </c>
      <c r="DR137" s="66">
        <f t="shared" si="131"/>
        <v>0</v>
      </c>
      <c r="DS137" s="66">
        <f t="shared" si="131"/>
        <v>0</v>
      </c>
      <c r="DT137" s="66">
        <f t="shared" si="131"/>
        <v>0</v>
      </c>
      <c r="DU137" s="66">
        <f t="shared" si="131"/>
        <v>1547000</v>
      </c>
      <c r="DV137" s="66">
        <f t="shared" si="131"/>
        <v>0</v>
      </c>
      <c r="DW137" s="66">
        <f t="shared" si="141"/>
        <v>0</v>
      </c>
      <c r="DX137" s="66">
        <f t="shared" si="141"/>
        <v>0</v>
      </c>
      <c r="DY137" s="66"/>
      <c r="DZ137" s="66">
        <f t="shared" si="142"/>
        <v>0</v>
      </c>
      <c r="EC137" s="173">
        <v>14000000</v>
      </c>
      <c r="ED137" s="173">
        <v>5453000</v>
      </c>
      <c r="EE137" s="174">
        <f t="shared" si="94"/>
        <v>0.38950000000000001</v>
      </c>
    </row>
    <row r="138" spans="1:135" ht="72.599999999999994" hidden="1" customHeight="1" x14ac:dyDescent="0.3">
      <c r="A138" s="207"/>
      <c r="B138" s="210"/>
      <c r="C138" s="70" t="s">
        <v>34</v>
      </c>
      <c r="D138" s="69" t="s">
        <v>33</v>
      </c>
      <c r="E138" s="68">
        <v>510</v>
      </c>
      <c r="F138" s="67" t="s">
        <v>30</v>
      </c>
      <c r="G138" s="66">
        <f t="shared" si="120"/>
        <v>0</v>
      </c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  <c r="AA138" s="66"/>
      <c r="AB138" s="66"/>
      <c r="AC138" s="66"/>
      <c r="AD138" s="66"/>
      <c r="AE138" s="22" t="e">
        <f t="shared" si="81"/>
        <v>#DIV/0!</v>
      </c>
      <c r="AF138" s="66">
        <f t="shared" si="121"/>
        <v>0</v>
      </c>
      <c r="AG138" s="66"/>
      <c r="AH138" s="66"/>
      <c r="AI138" s="66"/>
      <c r="AJ138" s="66"/>
      <c r="AK138" s="66"/>
      <c r="AL138" s="66"/>
      <c r="AM138" s="66"/>
      <c r="AN138" s="66"/>
      <c r="AO138" s="66"/>
      <c r="AP138" s="66"/>
      <c r="AQ138" s="66"/>
      <c r="AR138" s="66"/>
      <c r="AS138" s="66"/>
      <c r="AT138" s="66"/>
      <c r="AU138" s="66"/>
      <c r="AV138" s="66"/>
      <c r="AW138" s="66"/>
      <c r="AX138" s="66"/>
      <c r="AY138" s="66"/>
      <c r="AZ138" s="66"/>
      <c r="BA138" s="66"/>
      <c r="BB138" s="66"/>
      <c r="BC138" s="66"/>
      <c r="BD138" s="22" t="e">
        <f t="shared" si="134"/>
        <v>#DIV/0!</v>
      </c>
      <c r="BE138" s="66">
        <f t="shared" si="122"/>
        <v>0</v>
      </c>
      <c r="BF138" s="66">
        <f t="shared" si="136"/>
        <v>0</v>
      </c>
      <c r="BG138" s="66">
        <f t="shared" si="136"/>
        <v>0</v>
      </c>
      <c r="BH138" s="66">
        <f t="shared" si="136"/>
        <v>0</v>
      </c>
      <c r="BI138" s="66">
        <f t="shared" si="124"/>
        <v>0</v>
      </c>
      <c r="BJ138" s="66">
        <f t="shared" si="137"/>
        <v>0</v>
      </c>
      <c r="BK138" s="66">
        <f t="shared" si="137"/>
        <v>0</v>
      </c>
      <c r="BL138" s="66">
        <f t="shared" si="137"/>
        <v>0</v>
      </c>
      <c r="BM138" s="66">
        <f t="shared" si="137"/>
        <v>0</v>
      </c>
      <c r="BN138" s="66">
        <f t="shared" si="137"/>
        <v>0</v>
      </c>
      <c r="BO138" s="66">
        <f t="shared" si="137"/>
        <v>0</v>
      </c>
      <c r="BP138" s="66">
        <f t="shared" si="137"/>
        <v>0</v>
      </c>
      <c r="BQ138" s="66">
        <f t="shared" si="137"/>
        <v>0</v>
      </c>
      <c r="BR138" s="66">
        <f t="shared" si="137"/>
        <v>0</v>
      </c>
      <c r="BS138" s="66">
        <f t="shared" si="137"/>
        <v>0</v>
      </c>
      <c r="BT138" s="66">
        <f t="shared" si="137"/>
        <v>0</v>
      </c>
      <c r="BU138" s="66">
        <f t="shared" si="137"/>
        <v>0</v>
      </c>
      <c r="BV138" s="66">
        <f t="shared" si="137"/>
        <v>0</v>
      </c>
      <c r="BW138" s="66">
        <f t="shared" si="137"/>
        <v>0</v>
      </c>
      <c r="BX138" s="66">
        <f t="shared" si="137"/>
        <v>0</v>
      </c>
      <c r="BY138" s="66">
        <f t="shared" si="137"/>
        <v>0</v>
      </c>
      <c r="BZ138" s="66">
        <f t="shared" si="138"/>
        <v>0</v>
      </c>
      <c r="CA138" s="66"/>
      <c r="CB138" s="66">
        <f t="shared" si="139"/>
        <v>0</v>
      </c>
      <c r="CC138" s="22" t="e">
        <f t="shared" si="110"/>
        <v>#DIV/0!</v>
      </c>
      <c r="CD138" s="66">
        <f t="shared" si="128"/>
        <v>0</v>
      </c>
      <c r="CE138" s="66"/>
      <c r="CF138" s="66"/>
      <c r="CG138" s="66"/>
      <c r="CH138" s="66"/>
      <c r="CI138" s="66"/>
      <c r="CJ138" s="66"/>
      <c r="CK138" s="66"/>
      <c r="CL138" s="66"/>
      <c r="CM138" s="66"/>
      <c r="CN138" s="66"/>
      <c r="CO138" s="66"/>
      <c r="CP138" s="66"/>
      <c r="CQ138" s="66"/>
      <c r="CR138" s="66"/>
      <c r="CS138" s="66"/>
      <c r="CT138" s="66"/>
      <c r="CU138" s="66"/>
      <c r="CV138" s="66"/>
      <c r="CW138" s="66"/>
      <c r="CX138" s="66"/>
      <c r="CY138" s="66"/>
      <c r="CZ138" s="66"/>
      <c r="DA138" s="66"/>
      <c r="DB138" s="22" t="e">
        <f t="shared" si="135"/>
        <v>#DIV/0!</v>
      </c>
      <c r="DC138" s="66">
        <f t="shared" si="129"/>
        <v>0</v>
      </c>
      <c r="DD138" s="66">
        <f t="shared" si="140"/>
        <v>0</v>
      </c>
      <c r="DE138" s="66">
        <f t="shared" si="140"/>
        <v>0</v>
      </c>
      <c r="DF138" s="66">
        <f t="shared" si="140"/>
        <v>0</v>
      </c>
      <c r="DG138" s="66">
        <f t="shared" si="131"/>
        <v>0</v>
      </c>
      <c r="DH138" s="66">
        <f t="shared" si="131"/>
        <v>0</v>
      </c>
      <c r="DI138" s="66">
        <f t="shared" si="131"/>
        <v>0</v>
      </c>
      <c r="DJ138" s="66">
        <f t="shared" si="131"/>
        <v>0</v>
      </c>
      <c r="DK138" s="66">
        <f t="shared" si="131"/>
        <v>0</v>
      </c>
      <c r="DL138" s="66">
        <f t="shared" si="131"/>
        <v>0</v>
      </c>
      <c r="DM138" s="66">
        <f t="shared" si="131"/>
        <v>0</v>
      </c>
      <c r="DN138" s="66">
        <f t="shared" si="131"/>
        <v>0</v>
      </c>
      <c r="DO138" s="66">
        <f t="shared" si="131"/>
        <v>0</v>
      </c>
      <c r="DP138" s="66">
        <f t="shared" si="131"/>
        <v>0</v>
      </c>
      <c r="DQ138" s="66">
        <f t="shared" si="131"/>
        <v>0</v>
      </c>
      <c r="DR138" s="66">
        <f t="shared" si="131"/>
        <v>0</v>
      </c>
      <c r="DS138" s="66">
        <f t="shared" si="131"/>
        <v>0</v>
      </c>
      <c r="DT138" s="66">
        <f t="shared" si="131"/>
        <v>0</v>
      </c>
      <c r="DU138" s="66">
        <f t="shared" si="131"/>
        <v>0</v>
      </c>
      <c r="DV138" s="66">
        <f t="shared" si="131"/>
        <v>0</v>
      </c>
      <c r="DW138" s="66">
        <f t="shared" si="141"/>
        <v>0</v>
      </c>
      <c r="DX138" s="66">
        <f t="shared" si="141"/>
        <v>0</v>
      </c>
      <c r="DY138" s="66"/>
      <c r="DZ138" s="66">
        <f t="shared" si="142"/>
        <v>0</v>
      </c>
      <c r="EC138" s="173">
        <v>0</v>
      </c>
      <c r="ED138" s="173">
        <v>0</v>
      </c>
      <c r="EE138" s="174" t="e">
        <f t="shared" si="94"/>
        <v>#DIV/0!</v>
      </c>
    </row>
    <row r="139" spans="1:135" ht="84" hidden="1" customHeight="1" x14ac:dyDescent="0.3">
      <c r="A139" s="207"/>
      <c r="B139" s="210"/>
      <c r="C139" s="70" t="s">
        <v>32</v>
      </c>
      <c r="D139" s="69" t="s">
        <v>31</v>
      </c>
      <c r="E139" s="68">
        <v>510</v>
      </c>
      <c r="F139" s="67" t="s">
        <v>30</v>
      </c>
      <c r="G139" s="66">
        <f t="shared" si="120"/>
        <v>4000000</v>
      </c>
      <c r="H139" s="66"/>
      <c r="I139" s="66">
        <v>4000000</v>
      </c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  <c r="AA139" s="66"/>
      <c r="AB139" s="66"/>
      <c r="AC139" s="66"/>
      <c r="AD139" s="66"/>
      <c r="AE139" s="22">
        <f t="shared" si="81"/>
        <v>0</v>
      </c>
      <c r="AF139" s="66">
        <f t="shared" si="121"/>
        <v>0</v>
      </c>
      <c r="AG139" s="66"/>
      <c r="AH139" s="66"/>
      <c r="AI139" s="66"/>
      <c r="AJ139" s="66"/>
      <c r="AK139" s="66"/>
      <c r="AL139" s="66"/>
      <c r="AM139" s="66"/>
      <c r="AN139" s="66"/>
      <c r="AO139" s="66"/>
      <c r="AP139" s="66"/>
      <c r="AQ139" s="66"/>
      <c r="AR139" s="66"/>
      <c r="AS139" s="66"/>
      <c r="AT139" s="66"/>
      <c r="AU139" s="66"/>
      <c r="AV139" s="66"/>
      <c r="AW139" s="66"/>
      <c r="AX139" s="66"/>
      <c r="AY139" s="66"/>
      <c r="AZ139" s="66"/>
      <c r="BA139" s="66"/>
      <c r="BB139" s="66"/>
      <c r="BC139" s="66"/>
      <c r="BD139" s="22">
        <f t="shared" si="134"/>
        <v>1</v>
      </c>
      <c r="BE139" s="66">
        <f t="shared" si="122"/>
        <v>4000000</v>
      </c>
      <c r="BF139" s="66">
        <f t="shared" si="136"/>
        <v>0</v>
      </c>
      <c r="BG139" s="66">
        <f t="shared" si="136"/>
        <v>4000000</v>
      </c>
      <c r="BH139" s="66">
        <f t="shared" si="136"/>
        <v>0</v>
      </c>
      <c r="BI139" s="66">
        <f t="shared" si="124"/>
        <v>0</v>
      </c>
      <c r="BJ139" s="66">
        <f t="shared" si="137"/>
        <v>0</v>
      </c>
      <c r="BK139" s="66">
        <f t="shared" si="137"/>
        <v>0</v>
      </c>
      <c r="BL139" s="66">
        <f t="shared" si="137"/>
        <v>0</v>
      </c>
      <c r="BM139" s="66">
        <f t="shared" si="137"/>
        <v>0</v>
      </c>
      <c r="BN139" s="66">
        <f t="shared" si="137"/>
        <v>0</v>
      </c>
      <c r="BO139" s="66">
        <f t="shared" si="137"/>
        <v>0</v>
      </c>
      <c r="BP139" s="66">
        <f t="shared" si="137"/>
        <v>0</v>
      </c>
      <c r="BQ139" s="66">
        <f t="shared" si="137"/>
        <v>0</v>
      </c>
      <c r="BR139" s="66">
        <f t="shared" si="137"/>
        <v>0</v>
      </c>
      <c r="BS139" s="66">
        <f t="shared" si="137"/>
        <v>0</v>
      </c>
      <c r="BT139" s="66">
        <f t="shared" si="137"/>
        <v>0</v>
      </c>
      <c r="BU139" s="66">
        <f t="shared" si="137"/>
        <v>0</v>
      </c>
      <c r="BV139" s="66">
        <f t="shared" si="137"/>
        <v>0</v>
      </c>
      <c r="BW139" s="66">
        <f t="shared" si="137"/>
        <v>0</v>
      </c>
      <c r="BX139" s="66">
        <f t="shared" si="137"/>
        <v>0</v>
      </c>
      <c r="BY139" s="66">
        <f t="shared" si="137"/>
        <v>0</v>
      </c>
      <c r="BZ139" s="66">
        <f t="shared" si="138"/>
        <v>0</v>
      </c>
      <c r="CA139" s="66"/>
      <c r="CB139" s="66">
        <f t="shared" si="139"/>
        <v>0</v>
      </c>
      <c r="CC139" s="22">
        <f t="shared" si="110"/>
        <v>0</v>
      </c>
      <c r="CD139" s="66">
        <f t="shared" si="128"/>
        <v>0</v>
      </c>
      <c r="CE139" s="66"/>
      <c r="CF139" s="66"/>
      <c r="CG139" s="66"/>
      <c r="CH139" s="66"/>
      <c r="CI139" s="66"/>
      <c r="CJ139" s="66"/>
      <c r="CK139" s="66"/>
      <c r="CL139" s="66"/>
      <c r="CM139" s="66"/>
      <c r="CN139" s="66"/>
      <c r="CO139" s="66"/>
      <c r="CP139" s="66"/>
      <c r="CQ139" s="66"/>
      <c r="CR139" s="66"/>
      <c r="CS139" s="66"/>
      <c r="CT139" s="66"/>
      <c r="CU139" s="66"/>
      <c r="CV139" s="66"/>
      <c r="CW139" s="66"/>
      <c r="CX139" s="66"/>
      <c r="CY139" s="66"/>
      <c r="CZ139" s="66"/>
      <c r="DA139" s="66"/>
      <c r="DB139" s="22">
        <f t="shared" si="135"/>
        <v>1</v>
      </c>
      <c r="DC139" s="66">
        <f t="shared" si="129"/>
        <v>4000000</v>
      </c>
      <c r="DD139" s="66">
        <f t="shared" si="140"/>
        <v>0</v>
      </c>
      <c r="DE139" s="66">
        <f t="shared" si="140"/>
        <v>4000000</v>
      </c>
      <c r="DF139" s="66">
        <f t="shared" si="140"/>
        <v>0</v>
      </c>
      <c r="DG139" s="66">
        <f t="shared" si="140"/>
        <v>0</v>
      </c>
      <c r="DH139" s="66">
        <f t="shared" si="140"/>
        <v>0</v>
      </c>
      <c r="DI139" s="66">
        <f t="shared" si="140"/>
        <v>0</v>
      </c>
      <c r="DJ139" s="66">
        <f t="shared" si="140"/>
        <v>0</v>
      </c>
      <c r="DK139" s="66">
        <f t="shared" si="140"/>
        <v>0</v>
      </c>
      <c r="DL139" s="66">
        <f t="shared" si="140"/>
        <v>0</v>
      </c>
      <c r="DM139" s="66">
        <f t="shared" si="140"/>
        <v>0</v>
      </c>
      <c r="DN139" s="66">
        <f t="shared" si="140"/>
        <v>0</v>
      </c>
      <c r="DO139" s="66">
        <f t="shared" si="140"/>
        <v>0</v>
      </c>
      <c r="DP139" s="66">
        <f t="shared" si="140"/>
        <v>0</v>
      </c>
      <c r="DQ139" s="66">
        <f t="shared" si="140"/>
        <v>0</v>
      </c>
      <c r="DR139" s="66">
        <f t="shared" si="140"/>
        <v>0</v>
      </c>
      <c r="DS139" s="66">
        <f t="shared" si="140"/>
        <v>0</v>
      </c>
      <c r="DT139" s="66">
        <f t="shared" ref="DT139:DV142" si="143">X139-CU139</f>
        <v>0</v>
      </c>
      <c r="DU139" s="66">
        <f t="shared" si="143"/>
        <v>0</v>
      </c>
      <c r="DV139" s="66">
        <f t="shared" si="143"/>
        <v>0</v>
      </c>
      <c r="DW139" s="66">
        <f t="shared" si="141"/>
        <v>0</v>
      </c>
      <c r="DX139" s="66">
        <f t="shared" si="141"/>
        <v>0</v>
      </c>
      <c r="DY139" s="66"/>
      <c r="DZ139" s="66">
        <f t="shared" si="142"/>
        <v>0</v>
      </c>
      <c r="EC139" s="173">
        <v>4000000</v>
      </c>
      <c r="ED139" s="173">
        <v>0</v>
      </c>
      <c r="EE139" s="174">
        <f t="shared" si="94"/>
        <v>0</v>
      </c>
    </row>
    <row r="140" spans="1:135" ht="27.6" hidden="1" customHeight="1" x14ac:dyDescent="0.3">
      <c r="A140" s="207"/>
      <c r="B140" s="211"/>
      <c r="C140" s="70" t="s">
        <v>29</v>
      </c>
      <c r="D140" s="69" t="s">
        <v>28</v>
      </c>
      <c r="E140" s="68">
        <v>510</v>
      </c>
      <c r="F140" s="67" t="s">
        <v>21</v>
      </c>
      <c r="G140" s="66">
        <f t="shared" si="120"/>
        <v>100000000</v>
      </c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>
        <v>100000000</v>
      </c>
      <c r="Z140" s="66"/>
      <c r="AA140" s="66"/>
      <c r="AB140" s="66"/>
      <c r="AC140" s="66"/>
      <c r="AD140" s="66"/>
      <c r="AE140" s="22">
        <f t="shared" si="81"/>
        <v>1</v>
      </c>
      <c r="AF140" s="66">
        <f t="shared" si="121"/>
        <v>100000000</v>
      </c>
      <c r="AG140" s="66"/>
      <c r="AH140" s="66"/>
      <c r="AI140" s="66"/>
      <c r="AJ140" s="66"/>
      <c r="AK140" s="66"/>
      <c r="AL140" s="66"/>
      <c r="AM140" s="66"/>
      <c r="AN140" s="66"/>
      <c r="AO140" s="66"/>
      <c r="AP140" s="66"/>
      <c r="AQ140" s="66"/>
      <c r="AR140" s="66"/>
      <c r="AS140" s="66"/>
      <c r="AT140" s="66"/>
      <c r="AU140" s="66"/>
      <c r="AV140" s="66"/>
      <c r="AW140" s="66"/>
      <c r="AX140" s="66">
        <f>+'[4]JUNIO 2019'!$Z$2278</f>
        <v>100000000</v>
      </c>
      <c r="AY140" s="66"/>
      <c r="AZ140" s="66"/>
      <c r="BA140" s="66"/>
      <c r="BB140" s="66"/>
      <c r="BC140" s="66"/>
      <c r="BD140" s="22">
        <f t="shared" si="134"/>
        <v>0</v>
      </c>
      <c r="BE140" s="66">
        <f t="shared" si="122"/>
        <v>0</v>
      </c>
      <c r="BF140" s="66">
        <f t="shared" si="136"/>
        <v>0</v>
      </c>
      <c r="BG140" s="66">
        <f t="shared" si="136"/>
        <v>0</v>
      </c>
      <c r="BH140" s="66">
        <f t="shared" si="136"/>
        <v>0</v>
      </c>
      <c r="BI140" s="66">
        <f t="shared" si="124"/>
        <v>0</v>
      </c>
      <c r="BJ140" s="66">
        <f t="shared" si="137"/>
        <v>0</v>
      </c>
      <c r="BK140" s="66">
        <f t="shared" si="137"/>
        <v>0</v>
      </c>
      <c r="BL140" s="66">
        <f t="shared" si="137"/>
        <v>0</v>
      </c>
      <c r="BM140" s="66">
        <f t="shared" si="137"/>
        <v>0</v>
      </c>
      <c r="BN140" s="66">
        <f t="shared" si="137"/>
        <v>0</v>
      </c>
      <c r="BO140" s="66">
        <f t="shared" si="137"/>
        <v>0</v>
      </c>
      <c r="BP140" s="66">
        <f t="shared" si="137"/>
        <v>0</v>
      </c>
      <c r="BQ140" s="66">
        <f t="shared" si="137"/>
        <v>0</v>
      </c>
      <c r="BR140" s="66">
        <f t="shared" si="137"/>
        <v>0</v>
      </c>
      <c r="BS140" s="66">
        <f t="shared" si="137"/>
        <v>0</v>
      </c>
      <c r="BT140" s="66">
        <f t="shared" si="137"/>
        <v>0</v>
      </c>
      <c r="BU140" s="66">
        <f t="shared" si="137"/>
        <v>0</v>
      </c>
      <c r="BV140" s="66">
        <f t="shared" si="137"/>
        <v>0</v>
      </c>
      <c r="BW140" s="66">
        <f t="shared" si="137"/>
        <v>0</v>
      </c>
      <c r="BX140" s="66">
        <f t="shared" si="137"/>
        <v>0</v>
      </c>
      <c r="BY140" s="66">
        <f t="shared" si="137"/>
        <v>0</v>
      </c>
      <c r="BZ140" s="66">
        <f t="shared" si="138"/>
        <v>0</v>
      </c>
      <c r="CA140" s="66"/>
      <c r="CB140" s="66">
        <f t="shared" si="139"/>
        <v>0</v>
      </c>
      <c r="CC140" s="22"/>
      <c r="CD140" s="66">
        <f t="shared" si="128"/>
        <v>94200000</v>
      </c>
      <c r="CE140" s="66"/>
      <c r="CF140" s="66"/>
      <c r="CG140" s="66"/>
      <c r="CH140" s="66"/>
      <c r="CI140" s="66"/>
      <c r="CJ140" s="66"/>
      <c r="CK140" s="66"/>
      <c r="CL140" s="66"/>
      <c r="CM140" s="66"/>
      <c r="CN140" s="66"/>
      <c r="CO140" s="66"/>
      <c r="CP140" s="66"/>
      <c r="CQ140" s="66"/>
      <c r="CR140" s="66"/>
      <c r="CS140" s="66"/>
      <c r="CT140" s="66"/>
      <c r="CU140" s="66"/>
      <c r="CV140" s="66">
        <f>+'[7]AGOSTO 2019'!$H$3175</f>
        <v>94200000</v>
      </c>
      <c r="CW140" s="66"/>
      <c r="CX140" s="66"/>
      <c r="CY140" s="66"/>
      <c r="CZ140" s="66"/>
      <c r="DA140" s="66"/>
      <c r="DB140" s="22">
        <f t="shared" si="135"/>
        <v>1</v>
      </c>
      <c r="DC140" s="66">
        <f t="shared" si="129"/>
        <v>5800000</v>
      </c>
      <c r="DD140" s="66">
        <f t="shared" si="140"/>
        <v>0</v>
      </c>
      <c r="DE140" s="66">
        <f t="shared" si="140"/>
        <v>0</v>
      </c>
      <c r="DF140" s="66">
        <f t="shared" si="140"/>
        <v>0</v>
      </c>
      <c r="DG140" s="66">
        <f t="shared" si="140"/>
        <v>0</v>
      </c>
      <c r="DH140" s="66">
        <f t="shared" si="140"/>
        <v>0</v>
      </c>
      <c r="DI140" s="66">
        <f t="shared" si="140"/>
        <v>0</v>
      </c>
      <c r="DJ140" s="66">
        <f t="shared" si="140"/>
        <v>0</v>
      </c>
      <c r="DK140" s="66">
        <f t="shared" si="140"/>
        <v>0</v>
      </c>
      <c r="DL140" s="66">
        <f t="shared" si="140"/>
        <v>0</v>
      </c>
      <c r="DM140" s="66">
        <f t="shared" si="140"/>
        <v>0</v>
      </c>
      <c r="DN140" s="66">
        <f t="shared" si="140"/>
        <v>0</v>
      </c>
      <c r="DO140" s="66">
        <f t="shared" si="140"/>
        <v>0</v>
      </c>
      <c r="DP140" s="66">
        <f t="shared" si="140"/>
        <v>0</v>
      </c>
      <c r="DQ140" s="66">
        <f t="shared" si="140"/>
        <v>0</v>
      </c>
      <c r="DR140" s="66">
        <f t="shared" si="140"/>
        <v>0</v>
      </c>
      <c r="DS140" s="66">
        <f t="shared" si="140"/>
        <v>0</v>
      </c>
      <c r="DT140" s="66">
        <f t="shared" si="143"/>
        <v>0</v>
      </c>
      <c r="DU140" s="66">
        <f t="shared" si="143"/>
        <v>5800000</v>
      </c>
      <c r="DV140" s="66">
        <f t="shared" si="143"/>
        <v>0</v>
      </c>
      <c r="DW140" s="66">
        <f t="shared" si="141"/>
        <v>0</v>
      </c>
      <c r="DX140" s="66">
        <f t="shared" si="141"/>
        <v>0</v>
      </c>
      <c r="DY140" s="66"/>
      <c r="DZ140" s="66">
        <f t="shared" si="142"/>
        <v>0</v>
      </c>
      <c r="EB140" s="167"/>
      <c r="EC140" s="173">
        <v>100000000</v>
      </c>
      <c r="ED140" s="173">
        <v>94200000</v>
      </c>
      <c r="EE140" s="174">
        <f t="shared" si="94"/>
        <v>0</v>
      </c>
    </row>
    <row r="141" spans="1:135" ht="42" hidden="1" customHeight="1" x14ac:dyDescent="0.3">
      <c r="A141" s="207"/>
      <c r="B141" s="212" t="s">
        <v>27</v>
      </c>
      <c r="C141" s="70" t="s">
        <v>26</v>
      </c>
      <c r="D141" s="69" t="s">
        <v>25</v>
      </c>
      <c r="E141" s="68">
        <v>310</v>
      </c>
      <c r="F141" s="67" t="s">
        <v>24</v>
      </c>
      <c r="G141" s="66">
        <f t="shared" si="120"/>
        <v>131000000</v>
      </c>
      <c r="H141" s="66"/>
      <c r="I141" s="66">
        <f>150000000-35000000</f>
        <v>115000000</v>
      </c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  <c r="AA141" s="66"/>
      <c r="AB141" s="66"/>
      <c r="AC141" s="66"/>
      <c r="AD141" s="66">
        <f>13000000+3000000</f>
        <v>16000000</v>
      </c>
      <c r="AE141" s="22">
        <f t="shared" si="81"/>
        <v>1</v>
      </c>
      <c r="AF141" s="66">
        <f t="shared" si="121"/>
        <v>131000000</v>
      </c>
      <c r="AG141" s="66"/>
      <c r="AH141" s="66">
        <f>+'[5]MARZO 2019'!$K$225</f>
        <v>115000000</v>
      </c>
      <c r="AI141" s="66"/>
      <c r="AJ141" s="66"/>
      <c r="AK141" s="66"/>
      <c r="AL141" s="66"/>
      <c r="AM141" s="66"/>
      <c r="AN141" s="66"/>
      <c r="AO141" s="66"/>
      <c r="AP141" s="66"/>
      <c r="AQ141" s="66"/>
      <c r="AR141" s="66"/>
      <c r="AS141" s="66"/>
      <c r="AT141" s="66"/>
      <c r="AU141" s="66"/>
      <c r="AV141" s="66"/>
      <c r="AW141" s="66"/>
      <c r="AX141" s="66"/>
      <c r="AY141" s="66"/>
      <c r="AZ141" s="66"/>
      <c r="BA141" s="66"/>
      <c r="BB141" s="66"/>
      <c r="BC141" s="66">
        <f>+'[11]JULIO 2019'!$AF$572</f>
        <v>16000000</v>
      </c>
      <c r="BD141" s="22">
        <f t="shared" si="134"/>
        <v>0</v>
      </c>
      <c r="BE141" s="66">
        <f t="shared" si="122"/>
        <v>0</v>
      </c>
      <c r="BF141" s="66">
        <f t="shared" si="136"/>
        <v>0</v>
      </c>
      <c r="BG141" s="66">
        <f t="shared" si="136"/>
        <v>0</v>
      </c>
      <c r="BH141" s="66">
        <f t="shared" si="136"/>
        <v>0</v>
      </c>
      <c r="BI141" s="66">
        <f t="shared" si="124"/>
        <v>0</v>
      </c>
      <c r="BJ141" s="66">
        <f t="shared" si="137"/>
        <v>0</v>
      </c>
      <c r="BK141" s="66">
        <f t="shared" si="137"/>
        <v>0</v>
      </c>
      <c r="BL141" s="66">
        <f t="shared" si="137"/>
        <v>0</v>
      </c>
      <c r="BM141" s="66">
        <f t="shared" si="137"/>
        <v>0</v>
      </c>
      <c r="BN141" s="66">
        <f t="shared" si="137"/>
        <v>0</v>
      </c>
      <c r="BO141" s="66">
        <f t="shared" si="137"/>
        <v>0</v>
      </c>
      <c r="BP141" s="66">
        <f t="shared" si="137"/>
        <v>0</v>
      </c>
      <c r="BQ141" s="66">
        <f t="shared" si="137"/>
        <v>0</v>
      </c>
      <c r="BR141" s="66">
        <f t="shared" si="137"/>
        <v>0</v>
      </c>
      <c r="BS141" s="66">
        <f t="shared" si="137"/>
        <v>0</v>
      </c>
      <c r="BT141" s="66">
        <f t="shared" si="137"/>
        <v>0</v>
      </c>
      <c r="BU141" s="66">
        <f t="shared" si="137"/>
        <v>0</v>
      </c>
      <c r="BV141" s="66">
        <f t="shared" si="137"/>
        <v>0</v>
      </c>
      <c r="BW141" s="66">
        <f t="shared" si="137"/>
        <v>0</v>
      </c>
      <c r="BX141" s="66">
        <f t="shared" si="137"/>
        <v>0</v>
      </c>
      <c r="BY141" s="66">
        <f t="shared" si="137"/>
        <v>0</v>
      </c>
      <c r="BZ141" s="66">
        <f t="shared" si="138"/>
        <v>0</v>
      </c>
      <c r="CA141" s="66"/>
      <c r="CB141" s="66">
        <f t="shared" si="139"/>
        <v>0</v>
      </c>
      <c r="CC141" s="22">
        <f>+CD141/G141</f>
        <v>0.93422573282442745</v>
      </c>
      <c r="CD141" s="66">
        <f t="shared" si="128"/>
        <v>122383571</v>
      </c>
      <c r="CE141" s="66"/>
      <c r="CF141" s="66">
        <f>'[1]OCTUBRE 2019'!$H$950-DA141</f>
        <v>113463049</v>
      </c>
      <c r="CG141" s="66"/>
      <c r="CH141" s="66"/>
      <c r="CI141" s="66"/>
      <c r="CJ141" s="66"/>
      <c r="CK141" s="66"/>
      <c r="CL141" s="66"/>
      <c r="CM141" s="66"/>
      <c r="CN141" s="66"/>
      <c r="CO141" s="66"/>
      <c r="CP141" s="66"/>
      <c r="CQ141" s="66"/>
      <c r="CR141" s="66"/>
      <c r="CS141" s="66"/>
      <c r="CT141" s="66"/>
      <c r="CU141" s="66"/>
      <c r="CV141" s="66"/>
      <c r="CW141" s="66"/>
      <c r="CX141" s="66"/>
      <c r="CY141" s="66"/>
      <c r="CZ141" s="66"/>
      <c r="DA141" s="66">
        <f>+'[1]OCTUBRE 2019'!$H$1028+'[1]OCTUBRE 2019'!$H$1066</f>
        <v>8920522</v>
      </c>
      <c r="DB141" s="22">
        <f t="shared" si="135"/>
        <v>6.5774267175572554E-2</v>
      </c>
      <c r="DC141" s="66">
        <f t="shared" si="129"/>
        <v>8616429</v>
      </c>
      <c r="DD141" s="66">
        <f t="shared" si="140"/>
        <v>0</v>
      </c>
      <c r="DE141" s="66">
        <f t="shared" si="140"/>
        <v>1536951</v>
      </c>
      <c r="DF141" s="66">
        <f t="shared" si="140"/>
        <v>0</v>
      </c>
      <c r="DG141" s="66">
        <f t="shared" si="140"/>
        <v>0</v>
      </c>
      <c r="DH141" s="66">
        <f t="shared" si="140"/>
        <v>0</v>
      </c>
      <c r="DI141" s="66">
        <f t="shared" si="140"/>
        <v>0</v>
      </c>
      <c r="DJ141" s="66">
        <f t="shared" si="140"/>
        <v>0</v>
      </c>
      <c r="DK141" s="66">
        <f t="shared" si="140"/>
        <v>0</v>
      </c>
      <c r="DL141" s="66">
        <f t="shared" si="140"/>
        <v>0</v>
      </c>
      <c r="DM141" s="66">
        <f t="shared" si="140"/>
        <v>0</v>
      </c>
      <c r="DN141" s="66">
        <f t="shared" si="140"/>
        <v>0</v>
      </c>
      <c r="DO141" s="66">
        <f t="shared" si="140"/>
        <v>0</v>
      </c>
      <c r="DP141" s="66">
        <f t="shared" si="140"/>
        <v>0</v>
      </c>
      <c r="DQ141" s="66">
        <f t="shared" si="140"/>
        <v>0</v>
      </c>
      <c r="DR141" s="66">
        <f t="shared" si="140"/>
        <v>0</v>
      </c>
      <c r="DS141" s="66">
        <f t="shared" si="140"/>
        <v>0</v>
      </c>
      <c r="DT141" s="66">
        <f t="shared" si="143"/>
        <v>0</v>
      </c>
      <c r="DU141" s="66">
        <f t="shared" si="143"/>
        <v>0</v>
      </c>
      <c r="DV141" s="66">
        <f t="shared" si="143"/>
        <v>0</v>
      </c>
      <c r="DW141" s="66">
        <f t="shared" si="141"/>
        <v>0</v>
      </c>
      <c r="DX141" s="66">
        <f t="shared" si="141"/>
        <v>0</v>
      </c>
      <c r="DY141" s="66"/>
      <c r="DZ141" s="66">
        <f t="shared" si="142"/>
        <v>7079478</v>
      </c>
      <c r="EC141" s="173">
        <v>131000000</v>
      </c>
      <c r="ED141" s="173">
        <v>122383571</v>
      </c>
      <c r="EE141" s="174">
        <f t="shared" si="94"/>
        <v>0.93422573282442745</v>
      </c>
    </row>
    <row r="142" spans="1:135" ht="19.2" hidden="1" customHeight="1" x14ac:dyDescent="0.3">
      <c r="A142" s="208"/>
      <c r="B142" s="213"/>
      <c r="C142" s="70" t="s">
        <v>23</v>
      </c>
      <c r="D142" s="69" t="s">
        <v>22</v>
      </c>
      <c r="E142" s="68">
        <v>310</v>
      </c>
      <c r="F142" s="67" t="s">
        <v>21</v>
      </c>
      <c r="G142" s="66">
        <f t="shared" si="120"/>
        <v>35000000</v>
      </c>
      <c r="H142" s="66"/>
      <c r="I142" s="66">
        <f>35000000</f>
        <v>35000000</v>
      </c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  <c r="AA142" s="66"/>
      <c r="AB142" s="66"/>
      <c r="AC142" s="66"/>
      <c r="AD142" s="66"/>
      <c r="AE142" s="22">
        <f t="shared" si="81"/>
        <v>1</v>
      </c>
      <c r="AF142" s="66">
        <f t="shared" si="121"/>
        <v>35000000</v>
      </c>
      <c r="AG142" s="66"/>
      <c r="AH142" s="66">
        <f>+'[11]JULIO 2019'!$K$685</f>
        <v>35000000</v>
      </c>
      <c r="AI142" s="66"/>
      <c r="AJ142" s="66"/>
      <c r="AK142" s="66"/>
      <c r="AL142" s="66"/>
      <c r="AM142" s="66"/>
      <c r="AN142" s="66"/>
      <c r="AO142" s="66"/>
      <c r="AP142" s="66"/>
      <c r="AQ142" s="66"/>
      <c r="AR142" s="66"/>
      <c r="AS142" s="66"/>
      <c r="AT142" s="66"/>
      <c r="AU142" s="66"/>
      <c r="AV142" s="66"/>
      <c r="AW142" s="66"/>
      <c r="AX142" s="66"/>
      <c r="AY142" s="66"/>
      <c r="AZ142" s="66"/>
      <c r="BA142" s="66"/>
      <c r="BB142" s="66"/>
      <c r="BC142" s="66"/>
      <c r="BD142" s="22">
        <f t="shared" si="134"/>
        <v>0</v>
      </c>
      <c r="BE142" s="66">
        <f t="shared" si="122"/>
        <v>0</v>
      </c>
      <c r="BF142" s="66">
        <f t="shared" si="136"/>
        <v>0</v>
      </c>
      <c r="BG142" s="66">
        <f t="shared" si="136"/>
        <v>0</v>
      </c>
      <c r="BH142" s="66">
        <f t="shared" si="136"/>
        <v>0</v>
      </c>
      <c r="BI142" s="66">
        <f t="shared" si="124"/>
        <v>0</v>
      </c>
      <c r="BJ142" s="66">
        <f t="shared" si="137"/>
        <v>0</v>
      </c>
      <c r="BK142" s="66">
        <f t="shared" si="137"/>
        <v>0</v>
      </c>
      <c r="BL142" s="66">
        <f t="shared" si="137"/>
        <v>0</v>
      </c>
      <c r="BM142" s="66">
        <f t="shared" si="137"/>
        <v>0</v>
      </c>
      <c r="BN142" s="66">
        <f t="shared" si="137"/>
        <v>0</v>
      </c>
      <c r="BO142" s="66">
        <f t="shared" si="137"/>
        <v>0</v>
      </c>
      <c r="BP142" s="66">
        <f t="shared" si="137"/>
        <v>0</v>
      </c>
      <c r="BQ142" s="66">
        <f t="shared" si="137"/>
        <v>0</v>
      </c>
      <c r="BR142" s="66">
        <f t="shared" si="137"/>
        <v>0</v>
      </c>
      <c r="BS142" s="66">
        <f t="shared" si="137"/>
        <v>0</v>
      </c>
      <c r="BT142" s="66">
        <f t="shared" si="137"/>
        <v>0</v>
      </c>
      <c r="BU142" s="66">
        <f t="shared" si="137"/>
        <v>0</v>
      </c>
      <c r="BV142" s="66">
        <f t="shared" si="137"/>
        <v>0</v>
      </c>
      <c r="BW142" s="66">
        <f t="shared" si="137"/>
        <v>0</v>
      </c>
      <c r="BX142" s="66">
        <f t="shared" si="137"/>
        <v>0</v>
      </c>
      <c r="BY142" s="66">
        <f t="shared" si="137"/>
        <v>0</v>
      </c>
      <c r="BZ142" s="66">
        <f t="shared" si="138"/>
        <v>0</v>
      </c>
      <c r="CA142" s="66"/>
      <c r="CB142" s="66"/>
      <c r="CC142" s="22">
        <f>+CD142/G142</f>
        <v>0.96515977142857146</v>
      </c>
      <c r="CD142" s="66">
        <f t="shared" si="128"/>
        <v>33780592</v>
      </c>
      <c r="CE142" s="66"/>
      <c r="CF142" s="66">
        <f>+'[11]JULIO 2019'!$H$683</f>
        <v>33780592</v>
      </c>
      <c r="CG142" s="66"/>
      <c r="CH142" s="66"/>
      <c r="CI142" s="66"/>
      <c r="CJ142" s="66"/>
      <c r="CK142" s="66"/>
      <c r="CL142" s="66"/>
      <c r="CM142" s="66"/>
      <c r="CN142" s="66"/>
      <c r="CO142" s="66"/>
      <c r="CP142" s="66"/>
      <c r="CQ142" s="66"/>
      <c r="CR142" s="66"/>
      <c r="CS142" s="66"/>
      <c r="CT142" s="66"/>
      <c r="CU142" s="66"/>
      <c r="CV142" s="66"/>
      <c r="CW142" s="66"/>
      <c r="CX142" s="66"/>
      <c r="CY142" s="66"/>
      <c r="CZ142" s="66"/>
      <c r="DA142" s="66"/>
      <c r="DB142" s="22">
        <f t="shared" si="135"/>
        <v>3.4840228571428544E-2</v>
      </c>
      <c r="DC142" s="66">
        <f t="shared" si="129"/>
        <v>1219408</v>
      </c>
      <c r="DD142" s="66">
        <f t="shared" si="140"/>
        <v>0</v>
      </c>
      <c r="DE142" s="66">
        <f t="shared" si="140"/>
        <v>1219408</v>
      </c>
      <c r="DF142" s="66">
        <f t="shared" si="140"/>
        <v>0</v>
      </c>
      <c r="DG142" s="66">
        <f t="shared" si="140"/>
        <v>0</v>
      </c>
      <c r="DH142" s="66">
        <f t="shared" si="140"/>
        <v>0</v>
      </c>
      <c r="DI142" s="66">
        <f t="shared" si="140"/>
        <v>0</v>
      </c>
      <c r="DJ142" s="66">
        <f t="shared" si="140"/>
        <v>0</v>
      </c>
      <c r="DK142" s="66">
        <f t="shared" si="140"/>
        <v>0</v>
      </c>
      <c r="DL142" s="66">
        <f t="shared" si="140"/>
        <v>0</v>
      </c>
      <c r="DM142" s="66">
        <f t="shared" si="140"/>
        <v>0</v>
      </c>
      <c r="DN142" s="66">
        <f t="shared" si="140"/>
        <v>0</v>
      </c>
      <c r="DO142" s="66">
        <f t="shared" si="140"/>
        <v>0</v>
      </c>
      <c r="DP142" s="66">
        <f t="shared" si="140"/>
        <v>0</v>
      </c>
      <c r="DQ142" s="66">
        <f t="shared" si="140"/>
        <v>0</v>
      </c>
      <c r="DR142" s="66">
        <f t="shared" si="140"/>
        <v>0</v>
      </c>
      <c r="DS142" s="66">
        <f t="shared" si="140"/>
        <v>0</v>
      </c>
      <c r="DT142" s="66">
        <f t="shared" si="143"/>
        <v>0</v>
      </c>
      <c r="DU142" s="66">
        <f t="shared" si="143"/>
        <v>0</v>
      </c>
      <c r="DV142" s="66">
        <f t="shared" si="143"/>
        <v>0</v>
      </c>
      <c r="DW142" s="66">
        <f t="shared" si="141"/>
        <v>0</v>
      </c>
      <c r="DX142" s="66">
        <f t="shared" si="141"/>
        <v>0</v>
      </c>
      <c r="DY142" s="66"/>
      <c r="DZ142" s="66"/>
      <c r="EC142" s="173">
        <v>35000000</v>
      </c>
      <c r="ED142" s="173">
        <v>33780592</v>
      </c>
      <c r="EE142" s="174">
        <f t="shared" si="94"/>
        <v>0.96515977142857146</v>
      </c>
    </row>
    <row r="143" spans="1:135" s="59" customFormat="1" ht="20.25" customHeight="1" thickTop="1" thickBot="1" x14ac:dyDescent="0.35">
      <c r="A143" s="65"/>
      <c r="B143" s="278" t="s">
        <v>20</v>
      </c>
      <c r="C143" s="279"/>
      <c r="D143" s="279"/>
      <c r="E143" s="64"/>
      <c r="F143" s="63"/>
      <c r="G143" s="61">
        <f t="shared" ref="G143:AD143" si="144">SUM(G123:G142)</f>
        <v>20745884228</v>
      </c>
      <c r="H143" s="61">
        <f t="shared" si="144"/>
        <v>0</v>
      </c>
      <c r="I143" s="61">
        <f t="shared" si="144"/>
        <v>812610598</v>
      </c>
      <c r="J143" s="61">
        <f t="shared" si="144"/>
        <v>0</v>
      </c>
      <c r="K143" s="61">
        <f t="shared" si="144"/>
        <v>1216000000</v>
      </c>
      <c r="L143" s="61">
        <f t="shared" si="144"/>
        <v>10500000000</v>
      </c>
      <c r="M143" s="61">
        <f t="shared" si="144"/>
        <v>0</v>
      </c>
      <c r="N143" s="61">
        <f t="shared" si="144"/>
        <v>0</v>
      </c>
      <c r="O143" s="61">
        <f t="shared" si="144"/>
        <v>2079799356</v>
      </c>
      <c r="P143" s="61">
        <f t="shared" si="144"/>
        <v>875630318</v>
      </c>
      <c r="Q143" s="61">
        <f t="shared" si="144"/>
        <v>838723421</v>
      </c>
      <c r="R143" s="61">
        <f t="shared" si="144"/>
        <v>692156723</v>
      </c>
      <c r="S143" s="61">
        <f t="shared" si="144"/>
        <v>0</v>
      </c>
      <c r="T143" s="61">
        <f t="shared" si="144"/>
        <v>121047242</v>
      </c>
      <c r="U143" s="61">
        <f t="shared" si="144"/>
        <v>65905320</v>
      </c>
      <c r="V143" s="61">
        <f t="shared" si="144"/>
        <v>227290061</v>
      </c>
      <c r="W143" s="61">
        <f t="shared" si="144"/>
        <v>70000000</v>
      </c>
      <c r="X143" s="61">
        <f t="shared" si="144"/>
        <v>347806613</v>
      </c>
      <c r="Y143" s="61">
        <f t="shared" si="144"/>
        <v>1544837929</v>
      </c>
      <c r="Z143" s="61">
        <f t="shared" si="144"/>
        <v>210178916</v>
      </c>
      <c r="AA143" s="61">
        <f t="shared" si="144"/>
        <v>0</v>
      </c>
      <c r="AB143" s="61">
        <f t="shared" si="144"/>
        <v>0</v>
      </c>
      <c r="AC143" s="61">
        <f t="shared" si="144"/>
        <v>364870888</v>
      </c>
      <c r="AD143" s="61">
        <f t="shared" si="144"/>
        <v>779026843</v>
      </c>
      <c r="AE143" s="62">
        <f t="shared" si="81"/>
        <v>0.44245496475928758</v>
      </c>
      <c r="AF143" s="61">
        <f t="shared" ref="AF143:BC143" si="145">SUM(AF123:AF142)</f>
        <v>9179119475</v>
      </c>
      <c r="AG143" s="61">
        <f t="shared" si="145"/>
        <v>0</v>
      </c>
      <c r="AH143" s="61">
        <f t="shared" si="145"/>
        <v>795823498</v>
      </c>
      <c r="AI143" s="61">
        <f t="shared" si="145"/>
        <v>0</v>
      </c>
      <c r="AJ143" s="61">
        <f t="shared" si="145"/>
        <v>1216000000</v>
      </c>
      <c r="AK143" s="61">
        <f t="shared" si="145"/>
        <v>0</v>
      </c>
      <c r="AL143" s="61">
        <f t="shared" si="145"/>
        <v>0</v>
      </c>
      <c r="AM143" s="61">
        <f t="shared" si="145"/>
        <v>0</v>
      </c>
      <c r="AN143" s="61">
        <f t="shared" si="145"/>
        <v>1888216568</v>
      </c>
      <c r="AO143" s="61">
        <f t="shared" si="145"/>
        <v>759278628</v>
      </c>
      <c r="AP143" s="61">
        <f t="shared" si="145"/>
        <v>666113243</v>
      </c>
      <c r="AQ143" s="61">
        <f t="shared" si="145"/>
        <v>613843827</v>
      </c>
      <c r="AR143" s="61">
        <f t="shared" si="145"/>
        <v>0</v>
      </c>
      <c r="AS143" s="61">
        <f t="shared" si="145"/>
        <v>45000000</v>
      </c>
      <c r="AT143" s="61">
        <f t="shared" si="145"/>
        <v>32413220</v>
      </c>
      <c r="AU143" s="61">
        <f t="shared" si="145"/>
        <v>227290061</v>
      </c>
      <c r="AV143" s="61">
        <f t="shared" si="145"/>
        <v>70000000</v>
      </c>
      <c r="AW143" s="61">
        <f t="shared" si="145"/>
        <v>341490366</v>
      </c>
      <c r="AX143" s="61">
        <f t="shared" si="145"/>
        <v>1504406039</v>
      </c>
      <c r="AY143" s="61">
        <f t="shared" si="145"/>
        <v>210178916</v>
      </c>
      <c r="AZ143" s="61">
        <f t="shared" si="145"/>
        <v>0</v>
      </c>
      <c r="BA143" s="61">
        <f t="shared" si="145"/>
        <v>0</v>
      </c>
      <c r="BB143" s="61">
        <f t="shared" si="145"/>
        <v>202962884</v>
      </c>
      <c r="BC143" s="61">
        <f t="shared" si="145"/>
        <v>606102225</v>
      </c>
      <c r="BD143" s="62">
        <f t="shared" si="134"/>
        <v>0.55754503524071242</v>
      </c>
      <c r="BE143" s="61">
        <f t="shared" ref="BE143:CB143" si="146">SUM(BE123:BE142)</f>
        <v>11566764753</v>
      </c>
      <c r="BF143" s="61">
        <f t="shared" si="146"/>
        <v>0</v>
      </c>
      <c r="BG143" s="61">
        <f t="shared" si="146"/>
        <v>16787100</v>
      </c>
      <c r="BH143" s="61">
        <f t="shared" si="146"/>
        <v>0</v>
      </c>
      <c r="BI143" s="61">
        <f t="shared" si="146"/>
        <v>0</v>
      </c>
      <c r="BJ143" s="61">
        <f t="shared" si="146"/>
        <v>10500000000</v>
      </c>
      <c r="BK143" s="61">
        <f t="shared" si="146"/>
        <v>0</v>
      </c>
      <c r="BL143" s="61">
        <f t="shared" si="146"/>
        <v>0</v>
      </c>
      <c r="BM143" s="61">
        <f t="shared" si="146"/>
        <v>191582788</v>
      </c>
      <c r="BN143" s="61">
        <f t="shared" si="146"/>
        <v>116351690</v>
      </c>
      <c r="BO143" s="61">
        <f t="shared" si="146"/>
        <v>172610178</v>
      </c>
      <c r="BP143" s="61">
        <f t="shared" si="146"/>
        <v>78312896</v>
      </c>
      <c r="BQ143" s="61">
        <f t="shared" si="146"/>
        <v>0</v>
      </c>
      <c r="BR143" s="61">
        <f t="shared" si="146"/>
        <v>76047242</v>
      </c>
      <c r="BS143" s="61">
        <f t="shared" si="146"/>
        <v>33492100</v>
      </c>
      <c r="BT143" s="61">
        <f t="shared" si="146"/>
        <v>0</v>
      </c>
      <c r="BU143" s="61">
        <f t="shared" si="146"/>
        <v>0</v>
      </c>
      <c r="BV143" s="61">
        <f t="shared" si="146"/>
        <v>6316247</v>
      </c>
      <c r="BW143" s="61">
        <f t="shared" si="146"/>
        <v>40431890</v>
      </c>
      <c r="BX143" s="61">
        <f t="shared" si="146"/>
        <v>0</v>
      </c>
      <c r="BY143" s="61">
        <f t="shared" si="146"/>
        <v>0</v>
      </c>
      <c r="BZ143" s="61">
        <f t="shared" si="146"/>
        <v>0</v>
      </c>
      <c r="CA143" s="61">
        <f t="shared" si="146"/>
        <v>161908004</v>
      </c>
      <c r="CB143" s="61">
        <f t="shared" si="146"/>
        <v>172924618</v>
      </c>
      <c r="CC143" s="62">
        <f>+CD143/G143</f>
        <v>0.2888047391064425</v>
      </c>
      <c r="CD143" s="61">
        <f>SUM(CD123:CD142)</f>
        <v>5991509682</v>
      </c>
      <c r="CE143" s="61">
        <f>SUM(CE123:CE142)</f>
        <v>0</v>
      </c>
      <c r="CF143" s="61">
        <f>SUM(CF123:CF142)</f>
        <v>793067136</v>
      </c>
      <c r="CG143" s="61">
        <f>SUM(CG123:CG142)</f>
        <v>0</v>
      </c>
      <c r="CH143" s="61">
        <f>SUM(CG123:CG142)</f>
        <v>0</v>
      </c>
      <c r="CI143" s="61">
        <f t="shared" ref="CI143:DA143" si="147">SUM(CI123:CI142)</f>
        <v>0</v>
      </c>
      <c r="CJ143" s="61">
        <f t="shared" si="147"/>
        <v>0</v>
      </c>
      <c r="CK143" s="61">
        <f t="shared" si="147"/>
        <v>0</v>
      </c>
      <c r="CL143" s="61">
        <f t="shared" si="147"/>
        <v>1517777263</v>
      </c>
      <c r="CM143" s="61">
        <f t="shared" si="147"/>
        <v>320274188</v>
      </c>
      <c r="CN143" s="61">
        <f t="shared" si="147"/>
        <v>229327662</v>
      </c>
      <c r="CO143" s="61">
        <f t="shared" si="147"/>
        <v>579413205</v>
      </c>
      <c r="CP143" s="61">
        <f t="shared" si="147"/>
        <v>0</v>
      </c>
      <c r="CQ143" s="61">
        <f t="shared" si="147"/>
        <v>0</v>
      </c>
      <c r="CR143" s="61">
        <f t="shared" si="147"/>
        <v>3567404</v>
      </c>
      <c r="CS143" s="61">
        <f t="shared" si="147"/>
        <v>52159883</v>
      </c>
      <c r="CT143" s="61">
        <f t="shared" si="147"/>
        <v>48980841</v>
      </c>
      <c r="CU143" s="61">
        <f t="shared" si="147"/>
        <v>314411289</v>
      </c>
      <c r="CV143" s="61">
        <f t="shared" si="147"/>
        <v>1457303553</v>
      </c>
      <c r="CW143" s="61">
        <f t="shared" si="147"/>
        <v>106710000</v>
      </c>
      <c r="CX143" s="61">
        <f t="shared" si="147"/>
        <v>0</v>
      </c>
      <c r="CY143" s="61">
        <f t="shared" si="147"/>
        <v>0</v>
      </c>
      <c r="CZ143" s="61">
        <f t="shared" si="147"/>
        <v>144299911</v>
      </c>
      <c r="DA143" s="61">
        <f t="shared" si="147"/>
        <v>424217347</v>
      </c>
      <c r="DB143" s="62">
        <f t="shared" si="135"/>
        <v>0.71119526089355745</v>
      </c>
      <c r="DC143" s="61">
        <f t="shared" ref="DC143:DZ143" si="148">SUM(DC123:DC142)</f>
        <v>14754374546</v>
      </c>
      <c r="DD143" s="61">
        <f t="shared" si="148"/>
        <v>0</v>
      </c>
      <c r="DE143" s="61">
        <f t="shared" si="148"/>
        <v>19543462</v>
      </c>
      <c r="DF143" s="61">
        <f t="shared" si="148"/>
        <v>0</v>
      </c>
      <c r="DG143" s="61">
        <f t="shared" si="148"/>
        <v>1216000000</v>
      </c>
      <c r="DH143" s="61">
        <f t="shared" si="148"/>
        <v>10500000000</v>
      </c>
      <c r="DI143" s="61">
        <f t="shared" si="148"/>
        <v>0</v>
      </c>
      <c r="DJ143" s="61">
        <f t="shared" si="148"/>
        <v>0</v>
      </c>
      <c r="DK143" s="61">
        <f t="shared" si="148"/>
        <v>562022093</v>
      </c>
      <c r="DL143" s="61">
        <f t="shared" si="148"/>
        <v>555356130</v>
      </c>
      <c r="DM143" s="61">
        <f t="shared" si="148"/>
        <v>609395759</v>
      </c>
      <c r="DN143" s="61">
        <f t="shared" si="148"/>
        <v>112743518</v>
      </c>
      <c r="DO143" s="61">
        <f t="shared" si="148"/>
        <v>0</v>
      </c>
      <c r="DP143" s="61">
        <f t="shared" si="148"/>
        <v>121047242</v>
      </c>
      <c r="DQ143" s="61">
        <f t="shared" si="148"/>
        <v>62337916</v>
      </c>
      <c r="DR143" s="61">
        <f t="shared" si="148"/>
        <v>175130178</v>
      </c>
      <c r="DS143" s="61">
        <f t="shared" si="148"/>
        <v>21019159</v>
      </c>
      <c r="DT143" s="61">
        <f t="shared" si="148"/>
        <v>33395324</v>
      </c>
      <c r="DU143" s="61">
        <f t="shared" si="148"/>
        <v>87534376</v>
      </c>
      <c r="DV143" s="61">
        <f t="shared" si="148"/>
        <v>103468916</v>
      </c>
      <c r="DW143" s="61">
        <f t="shared" si="148"/>
        <v>0</v>
      </c>
      <c r="DX143" s="61">
        <f t="shared" si="148"/>
        <v>0</v>
      </c>
      <c r="DY143" s="61">
        <f t="shared" si="148"/>
        <v>220570977</v>
      </c>
      <c r="DZ143" s="61">
        <f t="shared" si="148"/>
        <v>354809496</v>
      </c>
      <c r="EB143" s="167" t="s">
        <v>429</v>
      </c>
      <c r="EC143" s="173">
        <v>20745884228</v>
      </c>
      <c r="ED143" s="173">
        <v>5991509682</v>
      </c>
      <c r="EE143" s="174">
        <f t="shared" si="94"/>
        <v>0.2888047391064425</v>
      </c>
    </row>
    <row r="144" spans="1:135" ht="5.25" customHeight="1" thickTop="1" x14ac:dyDescent="0.3">
      <c r="C144" s="58"/>
      <c r="D144" s="58"/>
      <c r="E144" s="58"/>
      <c r="F144" s="58"/>
      <c r="G144" s="56"/>
      <c r="H144" s="56"/>
      <c r="I144" s="57"/>
      <c r="J144" s="56"/>
      <c r="K144" s="56"/>
      <c r="L144" s="56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3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  <c r="AT144" s="49"/>
      <c r="AU144" s="49"/>
      <c r="AV144" s="49"/>
      <c r="AW144" s="49"/>
      <c r="AX144" s="49"/>
      <c r="AY144" s="49"/>
      <c r="AZ144" s="49"/>
      <c r="BA144" s="49"/>
      <c r="BB144" s="49"/>
      <c r="BC144" s="49"/>
      <c r="BD144" s="53"/>
      <c r="BE144" s="49"/>
      <c r="BF144" s="49"/>
      <c r="BG144" s="49"/>
      <c r="BH144" s="49"/>
      <c r="BI144" s="49"/>
      <c r="BJ144" s="49"/>
      <c r="BK144" s="49"/>
      <c r="BL144" s="49"/>
      <c r="BM144" s="49"/>
      <c r="BN144" s="49"/>
      <c r="BO144" s="49"/>
      <c r="BP144" s="49"/>
      <c r="BQ144" s="49"/>
      <c r="BR144" s="49"/>
      <c r="BS144" s="49"/>
      <c r="BT144" s="49"/>
      <c r="BU144" s="49"/>
      <c r="BV144" s="49"/>
      <c r="BW144" s="49"/>
      <c r="BX144" s="49"/>
      <c r="BY144" s="49"/>
      <c r="BZ144" s="49"/>
      <c r="CA144" s="49"/>
      <c r="CB144" s="49"/>
      <c r="CC144" s="53"/>
      <c r="CD144" s="54"/>
      <c r="CE144" s="49"/>
      <c r="CF144" s="49"/>
      <c r="CG144" s="49"/>
      <c r="CH144" s="49"/>
      <c r="CI144" s="49"/>
      <c r="CJ144" s="49"/>
      <c r="CK144" s="49"/>
      <c r="CL144" s="49"/>
      <c r="CM144" s="49"/>
      <c r="CN144" s="49"/>
      <c r="CO144" s="49"/>
      <c r="CP144" s="49"/>
      <c r="CQ144" s="49"/>
      <c r="CR144" s="49"/>
      <c r="CS144" s="49"/>
      <c r="CT144" s="49"/>
      <c r="CU144" s="49"/>
      <c r="CV144" s="49"/>
      <c r="CW144" s="49"/>
      <c r="CX144" s="49"/>
      <c r="CY144" s="49"/>
      <c r="CZ144" s="49"/>
      <c r="DA144" s="49"/>
      <c r="DB144" s="53"/>
      <c r="DC144" s="49"/>
      <c r="DD144" s="49"/>
      <c r="DE144" s="49"/>
      <c r="DF144" s="49"/>
      <c r="DG144" s="49"/>
      <c r="DH144" s="49"/>
      <c r="DI144" s="49"/>
      <c r="DJ144" s="49"/>
      <c r="DK144" s="49"/>
      <c r="DL144" s="49"/>
      <c r="DM144" s="49"/>
      <c r="DN144" s="49"/>
      <c r="DO144" s="49"/>
      <c r="DP144" s="49"/>
      <c r="DQ144" s="49"/>
      <c r="DR144" s="49"/>
      <c r="DS144" s="49"/>
      <c r="DT144" s="49"/>
      <c r="DU144" s="49"/>
      <c r="DV144" s="49"/>
      <c r="DW144" s="49"/>
      <c r="DX144" s="49"/>
      <c r="DY144" s="49"/>
      <c r="DZ144" s="49"/>
      <c r="EC144" s="169"/>
      <c r="EE144" s="168"/>
    </row>
    <row r="145" spans="3:135" ht="19.5" customHeight="1" x14ac:dyDescent="0.3">
      <c r="C145" s="200" t="s">
        <v>19</v>
      </c>
      <c r="D145" s="201"/>
      <c r="E145" s="202"/>
      <c r="F145" s="52"/>
      <c r="G145" s="49">
        <f t="shared" ref="G145:AD145" si="149">G40+G81+G105+G122+G143</f>
        <v>42445623888</v>
      </c>
      <c r="H145" s="49">
        <f t="shared" si="149"/>
        <v>467762013</v>
      </c>
      <c r="I145" s="49">
        <f t="shared" si="149"/>
        <v>2969410598</v>
      </c>
      <c r="J145" s="49">
        <f t="shared" si="149"/>
        <v>80644090</v>
      </c>
      <c r="K145" s="49">
        <f t="shared" si="149"/>
        <v>2311816144</v>
      </c>
      <c r="L145" s="49">
        <f t="shared" si="149"/>
        <v>10500000000</v>
      </c>
      <c r="M145" s="49">
        <f t="shared" si="149"/>
        <v>208000000</v>
      </c>
      <c r="N145" s="49">
        <f t="shared" si="149"/>
        <v>244096406</v>
      </c>
      <c r="O145" s="49">
        <f t="shared" si="149"/>
        <v>4798861038</v>
      </c>
      <c r="P145" s="49">
        <f t="shared" si="149"/>
        <v>986590852</v>
      </c>
      <c r="Q145" s="49">
        <f t="shared" si="149"/>
        <v>899683955</v>
      </c>
      <c r="R145" s="49">
        <f t="shared" si="149"/>
        <v>833117257</v>
      </c>
      <c r="S145" s="49">
        <f t="shared" si="149"/>
        <v>797458202</v>
      </c>
      <c r="T145" s="49">
        <f t="shared" si="149"/>
        <v>151047242</v>
      </c>
      <c r="U145" s="49">
        <f t="shared" si="149"/>
        <v>177491556</v>
      </c>
      <c r="V145" s="49">
        <f t="shared" si="149"/>
        <v>247290061</v>
      </c>
      <c r="W145" s="49">
        <f t="shared" si="149"/>
        <v>5673269814</v>
      </c>
      <c r="X145" s="49">
        <f t="shared" si="149"/>
        <v>1161806613</v>
      </c>
      <c r="Y145" s="49">
        <f t="shared" si="149"/>
        <v>1841680997</v>
      </c>
      <c r="Z145" s="49">
        <f t="shared" si="149"/>
        <v>1651021615</v>
      </c>
      <c r="AA145" s="49">
        <f t="shared" si="149"/>
        <v>1770728185</v>
      </c>
      <c r="AB145" s="49">
        <f t="shared" si="149"/>
        <v>453752865</v>
      </c>
      <c r="AC145" s="49">
        <f t="shared" si="149"/>
        <v>1337681906</v>
      </c>
      <c r="AD145" s="49">
        <f t="shared" si="149"/>
        <v>2882412479</v>
      </c>
      <c r="AE145" s="51">
        <f>+AF145/G145</f>
        <v>0.58245585920082255</v>
      </c>
      <c r="AF145" s="49">
        <f t="shared" ref="AF145:BC145" si="150">AF40+AF81+AF105+AF122+AF143</f>
        <v>24722702331</v>
      </c>
      <c r="AG145" s="49">
        <f t="shared" si="150"/>
        <v>444103222</v>
      </c>
      <c r="AH145" s="50">
        <f t="shared" si="150"/>
        <v>2788518660</v>
      </c>
      <c r="AI145" s="50">
        <f t="shared" si="150"/>
        <v>71205370</v>
      </c>
      <c r="AJ145" s="50">
        <f t="shared" si="150"/>
        <v>1216000000</v>
      </c>
      <c r="AK145" s="50">
        <f t="shared" si="150"/>
        <v>0</v>
      </c>
      <c r="AL145" s="50">
        <f t="shared" si="150"/>
        <v>208000000</v>
      </c>
      <c r="AM145" s="49">
        <f t="shared" si="150"/>
        <v>236438964</v>
      </c>
      <c r="AN145" s="49">
        <f t="shared" si="150"/>
        <v>3990901707</v>
      </c>
      <c r="AO145" s="49">
        <f t="shared" si="150"/>
        <v>759278628</v>
      </c>
      <c r="AP145" s="49">
        <f t="shared" si="150"/>
        <v>685555509</v>
      </c>
      <c r="AQ145" s="49">
        <f t="shared" si="150"/>
        <v>618849766</v>
      </c>
      <c r="AR145" s="49">
        <f t="shared" si="150"/>
        <v>688781491</v>
      </c>
      <c r="AS145" s="49">
        <f t="shared" si="150"/>
        <v>46614681</v>
      </c>
      <c r="AT145" s="49">
        <f t="shared" si="150"/>
        <v>42390459</v>
      </c>
      <c r="AU145" s="49">
        <f t="shared" si="150"/>
        <v>229882999</v>
      </c>
      <c r="AV145" s="49">
        <f t="shared" si="150"/>
        <v>3026536885</v>
      </c>
      <c r="AW145" s="49">
        <f t="shared" si="150"/>
        <v>1040593732</v>
      </c>
      <c r="AX145" s="49">
        <f t="shared" si="150"/>
        <v>1690781737</v>
      </c>
      <c r="AY145" s="49">
        <f t="shared" si="150"/>
        <v>1231835487</v>
      </c>
      <c r="AZ145" s="49">
        <f t="shared" si="150"/>
        <v>1770547588</v>
      </c>
      <c r="BA145" s="49">
        <f t="shared" si="150"/>
        <v>254320879</v>
      </c>
      <c r="BB145" s="49">
        <f t="shared" si="150"/>
        <v>767292884</v>
      </c>
      <c r="BC145" s="49">
        <f t="shared" si="150"/>
        <v>2232455539</v>
      </c>
      <c r="BD145" s="27">
        <f>1-AE145</f>
        <v>0.41754414079917745</v>
      </c>
      <c r="BE145" s="49">
        <f t="shared" ref="BE145:CB145" si="151">BE40+BE81+BE105+BE122+BE143</f>
        <v>17722921557</v>
      </c>
      <c r="BF145" s="49">
        <f t="shared" si="151"/>
        <v>23658791</v>
      </c>
      <c r="BG145" s="50">
        <f t="shared" si="151"/>
        <v>180891938</v>
      </c>
      <c r="BH145" s="50">
        <f t="shared" si="151"/>
        <v>9438720</v>
      </c>
      <c r="BI145" s="50">
        <f t="shared" si="151"/>
        <v>414000000</v>
      </c>
      <c r="BJ145" s="50">
        <f t="shared" si="151"/>
        <v>10500000000</v>
      </c>
      <c r="BK145" s="50">
        <f t="shared" si="151"/>
        <v>0</v>
      </c>
      <c r="BL145" s="49">
        <f t="shared" si="151"/>
        <v>7657442</v>
      </c>
      <c r="BM145" s="49">
        <f t="shared" si="151"/>
        <v>807959331</v>
      </c>
      <c r="BN145" s="49">
        <f t="shared" si="151"/>
        <v>227312224</v>
      </c>
      <c r="BO145" s="49">
        <f t="shared" si="151"/>
        <v>214128446</v>
      </c>
      <c r="BP145" s="49">
        <f t="shared" si="151"/>
        <v>214267491</v>
      </c>
      <c r="BQ145" s="49">
        <f t="shared" si="151"/>
        <v>108676711</v>
      </c>
      <c r="BR145" s="49">
        <f t="shared" si="151"/>
        <v>104432561</v>
      </c>
      <c r="BS145" s="49">
        <f t="shared" si="151"/>
        <v>135101097</v>
      </c>
      <c r="BT145" s="49">
        <f t="shared" si="151"/>
        <v>17407062</v>
      </c>
      <c r="BU145" s="49">
        <f t="shared" si="151"/>
        <v>2646732929</v>
      </c>
      <c r="BV145" s="49">
        <f t="shared" si="151"/>
        <v>121212881</v>
      </c>
      <c r="BW145" s="49">
        <f t="shared" si="151"/>
        <v>150899260</v>
      </c>
      <c r="BX145" s="49">
        <f t="shared" si="151"/>
        <v>419186128</v>
      </c>
      <c r="BY145" s="49">
        <f t="shared" si="151"/>
        <v>180597</v>
      </c>
      <c r="BZ145" s="49">
        <f t="shared" si="151"/>
        <v>199431986</v>
      </c>
      <c r="CA145" s="49">
        <f t="shared" si="151"/>
        <v>570389022</v>
      </c>
      <c r="CB145" s="49">
        <f t="shared" si="151"/>
        <v>649956940</v>
      </c>
      <c r="CC145" s="27">
        <f>+CD145/G145</f>
        <v>0.4264634142912801</v>
      </c>
      <c r="CD145" s="49">
        <f>CD40+CD81+CD105+CD122+CD143</f>
        <v>18101505685</v>
      </c>
      <c r="CE145" s="49">
        <f>CE40+CE81+CE105+CE122+CE143</f>
        <v>442882518</v>
      </c>
      <c r="CF145" s="49">
        <f>CF40+CF81+CF105+CF122+CF143</f>
        <v>2588308982</v>
      </c>
      <c r="CG145" s="49">
        <f>CG40+CG81+CG105+CG122+CH143</f>
        <v>33329347</v>
      </c>
      <c r="CH145" s="49">
        <f>CH40+CH81+CH105+CH122+CI143</f>
        <v>108959308</v>
      </c>
      <c r="CI145" s="49">
        <f t="shared" ref="CI145:DA145" si="152">CI40+CI81+CI105+CI122+CI143</f>
        <v>0</v>
      </c>
      <c r="CJ145" s="49">
        <f t="shared" si="152"/>
        <v>205876669</v>
      </c>
      <c r="CK145" s="49">
        <f t="shared" si="152"/>
        <v>236438964</v>
      </c>
      <c r="CL145" s="49">
        <f t="shared" si="152"/>
        <v>3159032839</v>
      </c>
      <c r="CM145" s="49">
        <f t="shared" si="152"/>
        <v>320274188</v>
      </c>
      <c r="CN145" s="49">
        <f t="shared" si="152"/>
        <v>248769928</v>
      </c>
      <c r="CO145" s="49">
        <f t="shared" si="152"/>
        <v>584278464</v>
      </c>
      <c r="CP145" s="49">
        <f t="shared" si="152"/>
        <v>508099968</v>
      </c>
      <c r="CQ145" s="49">
        <f t="shared" si="152"/>
        <v>1614681</v>
      </c>
      <c r="CR145" s="49">
        <f t="shared" si="152"/>
        <v>13320090</v>
      </c>
      <c r="CS145" s="49">
        <f t="shared" si="152"/>
        <v>54752821</v>
      </c>
      <c r="CT145" s="49">
        <f t="shared" si="152"/>
        <v>1992811986</v>
      </c>
      <c r="CU145" s="49">
        <f t="shared" si="152"/>
        <v>936884459</v>
      </c>
      <c r="CV145" s="49">
        <f t="shared" si="152"/>
        <v>1626945020</v>
      </c>
      <c r="CW145" s="49">
        <f t="shared" si="152"/>
        <v>850519868</v>
      </c>
      <c r="CX145" s="49">
        <f t="shared" si="152"/>
        <v>1694221856</v>
      </c>
      <c r="CY145" s="49">
        <f t="shared" si="152"/>
        <v>208651389</v>
      </c>
      <c r="CZ145" s="49">
        <f t="shared" si="152"/>
        <v>611344094</v>
      </c>
      <c r="DA145" s="49">
        <f t="shared" si="152"/>
        <v>1674188246</v>
      </c>
      <c r="DB145" s="22">
        <f>1-CC145</f>
        <v>0.5735365857087199</v>
      </c>
      <c r="DC145" s="49">
        <f t="shared" ref="DC145:DZ145" si="153">DC40+DC81+DC105+DC122+DC143</f>
        <v>24344118203</v>
      </c>
      <c r="DD145" s="49">
        <f t="shared" si="153"/>
        <v>24879495</v>
      </c>
      <c r="DE145" s="49">
        <f t="shared" si="153"/>
        <v>381101616</v>
      </c>
      <c r="DF145" s="49">
        <f t="shared" si="153"/>
        <v>47314743</v>
      </c>
      <c r="DG145" s="49">
        <f t="shared" si="153"/>
        <v>2202856836</v>
      </c>
      <c r="DH145" s="49">
        <f t="shared" si="153"/>
        <v>10500000000</v>
      </c>
      <c r="DI145" s="49">
        <f t="shared" si="153"/>
        <v>2123331</v>
      </c>
      <c r="DJ145" s="49">
        <f t="shared" si="153"/>
        <v>7657442</v>
      </c>
      <c r="DK145" s="49">
        <f t="shared" si="153"/>
        <v>1639828199</v>
      </c>
      <c r="DL145" s="49">
        <f t="shared" si="153"/>
        <v>666316664</v>
      </c>
      <c r="DM145" s="49">
        <f t="shared" si="153"/>
        <v>650914027</v>
      </c>
      <c r="DN145" s="49">
        <f t="shared" si="153"/>
        <v>248838793</v>
      </c>
      <c r="DO145" s="49">
        <f t="shared" si="153"/>
        <v>289358234</v>
      </c>
      <c r="DP145" s="49">
        <f t="shared" si="153"/>
        <v>149432561</v>
      </c>
      <c r="DQ145" s="49">
        <f t="shared" si="153"/>
        <v>164171466</v>
      </c>
      <c r="DR145" s="49">
        <f t="shared" si="153"/>
        <v>192537240</v>
      </c>
      <c r="DS145" s="49">
        <f t="shared" si="153"/>
        <v>3680457828</v>
      </c>
      <c r="DT145" s="49">
        <f t="shared" si="153"/>
        <v>224922154</v>
      </c>
      <c r="DU145" s="49">
        <f t="shared" si="153"/>
        <v>214735977</v>
      </c>
      <c r="DV145" s="49">
        <f t="shared" si="153"/>
        <v>800501747</v>
      </c>
      <c r="DW145" s="49">
        <f t="shared" si="153"/>
        <v>76506329</v>
      </c>
      <c r="DX145" s="49">
        <f t="shared" si="153"/>
        <v>245101476</v>
      </c>
      <c r="DY145" s="49">
        <f t="shared" si="153"/>
        <v>726337812</v>
      </c>
      <c r="DZ145" s="49">
        <f t="shared" si="153"/>
        <v>1208224233</v>
      </c>
      <c r="EB145" s="168" t="s">
        <v>400</v>
      </c>
      <c r="EC145" s="169">
        <f>EC40+EC81+EC105+EC122+EC143</f>
        <v>42445623888</v>
      </c>
      <c r="ED145" s="169">
        <f>ED40+ED81+ED105+ED122+ED143</f>
        <v>18101505685</v>
      </c>
      <c r="EE145" s="172">
        <f>+CC145</f>
        <v>0.4264634142912801</v>
      </c>
    </row>
    <row r="146" spans="3:135" ht="5.25" customHeight="1" x14ac:dyDescent="0.3">
      <c r="C146" s="48"/>
      <c r="D146" s="48"/>
      <c r="E146" s="47"/>
      <c r="F146" s="47"/>
      <c r="G146" s="45"/>
      <c r="H146" s="45"/>
      <c r="I146" s="46"/>
      <c r="J146" s="45"/>
      <c r="K146" s="45"/>
      <c r="L146" s="45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31"/>
      <c r="AF146" s="40"/>
      <c r="AG146" s="40"/>
      <c r="AH146" s="40"/>
      <c r="AI146" s="40"/>
      <c r="AJ146" s="40"/>
      <c r="AK146" s="40"/>
      <c r="AL146" s="40"/>
      <c r="AM146" s="40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BC146" s="42"/>
      <c r="BD146" s="31"/>
      <c r="BE146" s="40"/>
      <c r="BF146" s="40"/>
      <c r="BG146" s="40"/>
      <c r="BH146" s="40"/>
      <c r="BI146" s="40"/>
      <c r="BJ146" s="40"/>
      <c r="BK146" s="40"/>
      <c r="BL146" s="39"/>
      <c r="BM146" s="39"/>
      <c r="BN146" s="39"/>
      <c r="BO146" s="39"/>
      <c r="BP146" s="39"/>
      <c r="BQ146" s="39"/>
      <c r="BR146" s="39"/>
      <c r="BS146" s="39"/>
      <c r="BT146" s="39"/>
      <c r="BU146" s="39"/>
      <c r="BV146" s="39"/>
      <c r="BW146" s="39"/>
      <c r="BX146" s="39"/>
      <c r="BY146" s="39"/>
      <c r="BZ146" s="39"/>
      <c r="CA146" s="39"/>
      <c r="CB146" s="39"/>
      <c r="CC146" s="31"/>
      <c r="CD146" s="44"/>
      <c r="CE146" s="43"/>
      <c r="CF146" s="43"/>
      <c r="CG146" s="43"/>
      <c r="CH146" s="43"/>
      <c r="CI146" s="43"/>
      <c r="CJ146" s="43"/>
      <c r="CK146" s="42"/>
      <c r="CL146" s="42"/>
      <c r="CM146" s="42"/>
      <c r="CN146" s="42"/>
      <c r="CO146" s="42"/>
      <c r="CP146" s="42"/>
      <c r="CQ146" s="42"/>
      <c r="CR146" s="42"/>
      <c r="CS146" s="42"/>
      <c r="CT146" s="42"/>
      <c r="CU146" s="42"/>
      <c r="CV146" s="42"/>
      <c r="CW146" s="42"/>
      <c r="CX146" s="42"/>
      <c r="CY146" s="42"/>
      <c r="CZ146" s="42"/>
      <c r="DA146" s="42"/>
      <c r="DB146" s="22"/>
      <c r="DC146" s="41"/>
      <c r="DD146" s="40"/>
      <c r="DE146" s="40"/>
      <c r="DF146" s="40"/>
      <c r="DG146" s="40"/>
      <c r="DH146" s="40"/>
      <c r="DI146" s="40"/>
      <c r="DJ146" s="39"/>
      <c r="DK146" s="39"/>
      <c r="DL146" s="39"/>
      <c r="DM146" s="39"/>
      <c r="DN146" s="39"/>
      <c r="DO146" s="39"/>
      <c r="DP146" s="39"/>
      <c r="DQ146" s="39"/>
      <c r="DR146" s="39"/>
      <c r="DS146" s="39"/>
      <c r="DT146" s="39"/>
      <c r="DU146" s="39"/>
      <c r="DV146" s="39"/>
      <c r="DW146" s="39"/>
      <c r="DX146" s="39"/>
      <c r="DY146" s="39"/>
      <c r="DZ146" s="39"/>
    </row>
    <row r="147" spans="3:135" ht="16.5" customHeight="1" x14ac:dyDescent="0.3">
      <c r="C147" s="38"/>
      <c r="D147" s="32" t="s">
        <v>18</v>
      </c>
      <c r="E147" s="31">
        <v>111</v>
      </c>
      <c r="F147" s="29"/>
      <c r="G147" s="24">
        <f>SUMIF($E$5:$E$142,"111",$G$5:$G$142)</f>
        <v>13043802420</v>
      </c>
      <c r="H147" s="30">
        <f>SUMIF($E$5:$E$143,"111",$H$5:$H$143)</f>
        <v>0</v>
      </c>
      <c r="I147" s="30">
        <f>SUMIF($E$5:$E$143,"111",$I$5:$I$143)</f>
        <v>0</v>
      </c>
      <c r="J147" s="30">
        <f>SUMIF($E$5:$E$143,"111",$J$5:$J$143)</f>
        <v>0</v>
      </c>
      <c r="K147" s="30">
        <f>SUMIF($E$5:$E$143,"111",$K$5:$K$143)</f>
        <v>0</v>
      </c>
      <c r="L147" s="24">
        <f>SUMIF($E$5:$E$142,"111",$L$5:$L$142)</f>
        <v>10500000000</v>
      </c>
      <c r="M147" s="29">
        <f>SUMIF($E$5:$E$143,"111",$M$5:$M$143)</f>
        <v>0</v>
      </c>
      <c r="N147" s="29">
        <f>SUMIF($E$5:$E$142,"111",$N$5:$N$142)</f>
        <v>0</v>
      </c>
      <c r="O147" s="29">
        <f>SUMIF($E$5:$E$142,"111",$O$5:$O$142)</f>
        <v>473013719</v>
      </c>
      <c r="P147" s="29">
        <f>SUMIF($E$5:$E$142,"111",$P$5:$P$142)</f>
        <v>216000000</v>
      </c>
      <c r="Q147" s="29">
        <f>SUMIF($E$5:$E$142,"111",$Q$5:$Q$142)</f>
        <v>288923121</v>
      </c>
      <c r="R147" s="29">
        <f>SUMIF($E$5:$E$142,"111",$R$5:$R$142)</f>
        <v>561370228</v>
      </c>
      <c r="S147" s="29">
        <f>SUMIF($E$5:$E$142,"111",$S$5:$S$142)</f>
        <v>0</v>
      </c>
      <c r="T147" s="29">
        <f>SUMIF($E$5:$E$142,"111",$T$5:$T$142)</f>
        <v>71047242</v>
      </c>
      <c r="U147" s="29">
        <f>SUMIF($E$5:$E$142,"111",$U$5:$U$142)</f>
        <v>5000000</v>
      </c>
      <c r="V147" s="29">
        <f>SUMIF($E$5:$E$142,"111",$V$5:$V$142)</f>
        <v>55159883</v>
      </c>
      <c r="W147" s="29">
        <f>SUMIF($E$5:$E$142,"111",$W$5:$W$142)</f>
        <v>20000000</v>
      </c>
      <c r="X147" s="29">
        <f>SUMIF($E$5:$E$142,"111",$X$5:$X$142)</f>
        <v>0</v>
      </c>
      <c r="Y147" s="29">
        <f>SUMIF($E$5:$E$142,"111",$Y$5:$Y$142)</f>
        <v>595237929</v>
      </c>
      <c r="Z147" s="29">
        <f>SUMIF($E$5:$E$142,"111",$Z$5:$Z$142)</f>
        <v>0</v>
      </c>
      <c r="AA147" s="29">
        <f>SUMIF($E$5:$E$142,"111",$AA$5:$AA$142)</f>
        <v>0</v>
      </c>
      <c r="AB147" s="29">
        <f>SUMIF($E$5:$E$142,"111",$AA$5:$AA$142)</f>
        <v>0</v>
      </c>
      <c r="AC147" s="29">
        <f>SUMIF($E$5:$E$142,"111",$AC$5:$AC$142)</f>
        <v>123846638</v>
      </c>
      <c r="AD147" s="29">
        <f>SUMIF($E$5:$E$142,"111",$AD$5:$AD$142)</f>
        <v>134203660</v>
      </c>
      <c r="AE147" s="28">
        <f t="shared" ref="AE147:AE154" si="154">+AF147/G147</f>
        <v>0.16000171581869146</v>
      </c>
      <c r="AF147" s="24">
        <f>SUMIF($E$5:$E$142,"111",$AF$5:$AF$142)</f>
        <v>2087030768</v>
      </c>
      <c r="AG147" s="24">
        <f>SUMIF($E$5:$E$142,"111",$AG$5:$AG$142)</f>
        <v>0</v>
      </c>
      <c r="AH147" s="24">
        <f>SUMIF($E$5:$E$142,"111",$AH$5:$AH$142)</f>
        <v>0</v>
      </c>
      <c r="AI147" s="24">
        <f>SUMIF($E$5:$E$142,"111",$AI$5:$AI$142)</f>
        <v>0</v>
      </c>
      <c r="AJ147" s="24">
        <f>SUMIF($E$5:$E$142,"111",$AJ$5:$AJ$142)</f>
        <v>0</v>
      </c>
      <c r="AK147" s="24">
        <f>SUMIF($E$5:$E$142,"111",$AK$5:$AK$142)</f>
        <v>0</v>
      </c>
      <c r="AL147" s="24">
        <f>SUMIF($E$5:$E$142,"111",$AL$5:$AL$142)</f>
        <v>0</v>
      </c>
      <c r="AM147" s="24">
        <f>SUMIF($E$5:$E$142,"111",$AM$5:$AM$142)</f>
        <v>0</v>
      </c>
      <c r="AN147" s="24">
        <f>SUMIF($E$5:$E$142,"111",$AN$5:$AN$142)</f>
        <v>415608719</v>
      </c>
      <c r="AO147" s="24">
        <f>SUMIF($E$5:$E$142,"111",$AO$5:$AO$142)</f>
        <v>133080914</v>
      </c>
      <c r="AP147" s="24">
        <f>SUMIF($E$5:$E$142,"111",$AP$5:$AP$142)</f>
        <v>231429351</v>
      </c>
      <c r="AQ147" s="24">
        <f>SUMIF($E$5:$E$142,"111",$AQ$5:$AQ$142)</f>
        <v>538277548</v>
      </c>
      <c r="AR147" s="24">
        <f>SUMIF($E$5:$E$142,"111",$AR$5:$AR$142)</f>
        <v>0</v>
      </c>
      <c r="AS147" s="24">
        <f>SUMIF($E$5:$E$142,"111",$AS$5:$AS$142)</f>
        <v>0</v>
      </c>
      <c r="AT147" s="24">
        <f>SUMIF($E$5:$E$142,"111",$AT$5:$AT$142)</f>
        <v>3567404</v>
      </c>
      <c r="AU147" s="24">
        <f>SUMIF($E$5:$E$142,"111",$AU$5:$AU$142)</f>
        <v>55159883</v>
      </c>
      <c r="AV147" s="24">
        <f>SUMIF($E$5:$E$142,"111",$AV$5:$AV$142)</f>
        <v>20000000</v>
      </c>
      <c r="AW147" s="24">
        <f>SUMIF($E$5:$E$142,"111",$AW$5:$AW$142)</f>
        <v>0</v>
      </c>
      <c r="AX147" s="24">
        <f>SUMIF($E$5:$E$142,"111",$AX$5:$AX$142)</f>
        <v>571724458</v>
      </c>
      <c r="AY147" s="24">
        <f>SUMIF($E$5:$E$142,"111",$AY$5:$AY$142)</f>
        <v>0</v>
      </c>
      <c r="AZ147" s="24">
        <f>SUMIF($E$5:$E$142,"111",$AZ$5:$AZ$142)</f>
        <v>0</v>
      </c>
      <c r="BA147" s="24">
        <f>SUMIF($E$5:$E$142,"111",$BA$5:$BA$142)</f>
        <v>0</v>
      </c>
      <c r="BB147" s="24">
        <f>SUMIF($E$5:$E$142,"111",$BB$5:$BB$142)</f>
        <v>34000000</v>
      </c>
      <c r="BC147" s="24">
        <f>SUMIF($E$5:$E$142,"111",$BC$5:$BC$142)</f>
        <v>84182491</v>
      </c>
      <c r="BD147" s="27">
        <f t="shared" ref="BD147:BD154" si="155">1-AE147</f>
        <v>0.83999828418130851</v>
      </c>
      <c r="BE147" s="21">
        <f t="shared" ref="BE147:BE153" si="156">SUM(BF147:CB147)</f>
        <v>10956771652</v>
      </c>
      <c r="BF147" s="20">
        <f>SUMIF($E$5:$E$142,"111",$BF$5:$BF$142)</f>
        <v>0</v>
      </c>
      <c r="BG147" s="20">
        <f>SUMIF($E$5:$E$142,"111",$BG$5:$BG$142)</f>
        <v>0</v>
      </c>
      <c r="BH147" s="20">
        <f>SUMIF($E$5:$E$142,"111",$BH$5:$BH$142)</f>
        <v>0</v>
      </c>
      <c r="BI147" s="20">
        <f>SUMIF($E$5:$E$142,"111",$BI$5:$BI$142)</f>
        <v>0</v>
      </c>
      <c r="BJ147" s="20">
        <f>SUMIF($E$5:$E$142,"111",$BJ$5:$BJ$142)</f>
        <v>10500000000</v>
      </c>
      <c r="BK147" s="20">
        <f>SUMIF($E$5:$E$142,"111",$BK$5:$BK$142)</f>
        <v>0</v>
      </c>
      <c r="BL147" s="20">
        <f>SUMIF($E$5:$E$142,"111",$BL$5:$BL$142)</f>
        <v>0</v>
      </c>
      <c r="BM147" s="20">
        <f>SUMIF($E$5:$E$142,"111",$BM$5:$BM$142)</f>
        <v>57405000</v>
      </c>
      <c r="BN147" s="20">
        <f>SUMIF($E$5:$E$142,"111",$BN$5:$BN$142)</f>
        <v>82919086</v>
      </c>
      <c r="BO147" s="20">
        <f>SUMIF($E$5:$E$142,"111",$BO$5:$BO$142)</f>
        <v>57493770</v>
      </c>
      <c r="BP147" s="20">
        <f>SUMIF($E$5:$E$142,"111",$BP$5:$BP$142)</f>
        <v>23092680</v>
      </c>
      <c r="BQ147" s="20">
        <f>SUMIF($E$5:$E$142,"111",$BQ$5:$BQ$142)</f>
        <v>0</v>
      </c>
      <c r="BR147" s="20">
        <f>SUMIF($E$5:$E$142,"111",$BR$5:$BR$142)</f>
        <v>71047242</v>
      </c>
      <c r="BS147" s="20">
        <f>SUMIF($E$5:$E$142,"111",$BS$5:$BS$142)</f>
        <v>1432596</v>
      </c>
      <c r="BT147" s="20">
        <f>SUMIF($E$5:$E$142,"111",$BT$5:$BT$142)</f>
        <v>0</v>
      </c>
      <c r="BU147" s="20">
        <f>SUMIF($E$5:$E$142,"111",$BU$5:$BU$142)</f>
        <v>0</v>
      </c>
      <c r="BV147" s="20">
        <f>SUMIF($E$5:$E$142,"111",$BV$5:$BV$142)</f>
        <v>0</v>
      </c>
      <c r="BW147" s="20">
        <f>SUMIF($E$5:$E$142,"111",$BW$5:$BW$142)</f>
        <v>23513471</v>
      </c>
      <c r="BX147" s="20">
        <f>SUMIF($E$5:$E$142,"111",$BX$5:$BX$142)</f>
        <v>0</v>
      </c>
      <c r="BY147" s="20">
        <f>SUMIF($E$5:$E$142,"111",$BY$5:$BY$142)</f>
        <v>0</v>
      </c>
      <c r="BZ147" s="20">
        <f>SUMIF($E$5:$E$142,"111",$BZ$5:$BZ$142)</f>
        <v>0</v>
      </c>
      <c r="CA147" s="20">
        <f>SUMIF($E$5:$E$142,"111",$CA$5:$CA$142)</f>
        <v>89846638</v>
      </c>
      <c r="CB147" s="26">
        <f>SUMIF($E$5:$E$142,"111",$CB$5:$CB$142)</f>
        <v>50021169</v>
      </c>
      <c r="CC147" s="25">
        <f t="shared" ref="CC147:CC154" si="157">+CD147/G147</f>
        <v>0.14296069558220126</v>
      </c>
      <c r="CD147" s="35">
        <f t="shared" ref="CD147:CD153" si="158">SUM(CE147:DA147)</f>
        <v>1864751067</v>
      </c>
      <c r="CE147" s="24">
        <f>SUMIF($E$5:$E$142,"111",$CE$5:$CE$142)</f>
        <v>0</v>
      </c>
      <c r="CF147" s="24">
        <f>SUMIF($E$5:$E$142,"111",$CF$5:$CF$142)</f>
        <v>0</v>
      </c>
      <c r="CG147" s="24">
        <f>SUMIF($E$5:$E$142,"111",$CG$5:$CG$142)</f>
        <v>0</v>
      </c>
      <c r="CH147" s="24">
        <f>SUMIF($E$5:$E$142,"111",$CH$5:$CH$142)</f>
        <v>0</v>
      </c>
      <c r="CI147" s="24">
        <f>SUMIF($E$5:$E$142,"111",$CI$5:$CI$142)</f>
        <v>0</v>
      </c>
      <c r="CJ147" s="24">
        <f>SUMIF($E$5:$E$142,"111",$CJ$5:$CJ$142)</f>
        <v>0</v>
      </c>
      <c r="CK147" s="24">
        <f>SUMIF($E$5:$E$142,"111",$CK$5:$CK$142)</f>
        <v>0</v>
      </c>
      <c r="CL147" s="24">
        <f>SUMIF($E$5:$E$142,"111",$CL$5:$CL$142)</f>
        <v>401903697</v>
      </c>
      <c r="CM147" s="24">
        <f>SUMIF($E$5:$E$142,"111",$CM$5:$CM$142)</f>
        <v>133080914</v>
      </c>
      <c r="CN147" s="24">
        <f>SUMIF($E$5:$E$142,"111",$CN$5:$CN$142)</f>
        <v>136444070</v>
      </c>
      <c r="CO147" s="24">
        <f>SUMIF($E$5:$E$142,"111",$CO$5:$CO$142)</f>
        <v>538277548</v>
      </c>
      <c r="CP147" s="24">
        <f>SUMIF($E$5:$E$142,"111",$CP$5:$CP$142)</f>
        <v>0</v>
      </c>
      <c r="CQ147" s="24">
        <f>SUMIF($E$5:$E$142,"111",$CQ$5:$CQ$142)</f>
        <v>0</v>
      </c>
      <c r="CR147" s="24">
        <f>SUMIF($E$5:$E$142,"111",$CR$5:$CR$142)</f>
        <v>3567404</v>
      </c>
      <c r="CS147" s="24">
        <f>SUMIF($E$5:$E$142,"111",$CS$5:$CS$142)</f>
        <v>32159883</v>
      </c>
      <c r="CT147" s="24">
        <f>SUMIF($E$5:$E$142,"111",$CT$5:$CT$142)</f>
        <v>19955896</v>
      </c>
      <c r="CU147" s="24">
        <f>SUMIF($E$5:$E$142,"111",$CU$5:$CU$142)</f>
        <v>0</v>
      </c>
      <c r="CV147" s="24">
        <f>SUMIF($E$5:$E$142,"111",$CV$5:$CV$142)</f>
        <v>533603631</v>
      </c>
      <c r="CW147" s="24">
        <f>SUMIF($E$5:$E$142,"111",$CW$5:$CW$142)</f>
        <v>0</v>
      </c>
      <c r="CX147" s="24">
        <f>SUMIF($E$5:$E$142,"111",$CX$5:$CX$142)</f>
        <v>0</v>
      </c>
      <c r="CY147" s="24">
        <f>SUMIF($E$5:$E$142,"111",$CY$5:$CY$142)</f>
        <v>0</v>
      </c>
      <c r="CZ147" s="24">
        <f>SUMIF($E$5:$E$142,"111",$CZ$5:$CZ$142)</f>
        <v>0</v>
      </c>
      <c r="DA147" s="23">
        <f>SUMIF($E$5:$E$142,"111",$DA$5:$DA$142)</f>
        <v>65758024</v>
      </c>
      <c r="DB147" s="22">
        <f t="shared" ref="DB147:DB154" si="159">1-CC147</f>
        <v>0.85703930441779874</v>
      </c>
      <c r="DC147" s="21">
        <f t="shared" ref="DC147:DC153" si="160">SUM(DD147:DZ147)</f>
        <v>11179051353</v>
      </c>
      <c r="DD147" s="20">
        <f>SUMIF($E$5:$E$142,"111",$DD$5:$DD$142)</f>
        <v>0</v>
      </c>
      <c r="DE147" s="20">
        <f>SUMIF($E$5:$E$142,"111",$DE$5:$DE$142)</f>
        <v>0</v>
      </c>
      <c r="DF147" s="20">
        <f>SUMIF($E$5:$E$142,"111",$DF$5:$DF$142)</f>
        <v>0</v>
      </c>
      <c r="DG147" s="20">
        <f>SUMIF($E$5:$E$142,"111",$DG$5:$DG$142)</f>
        <v>0</v>
      </c>
      <c r="DH147" s="20">
        <f>SUMIF($E$5:$E$142,"111",$DH$5:$DH$142)</f>
        <v>10500000000</v>
      </c>
      <c r="DI147" s="20">
        <f>SUMIF($E$5:$E$142,"111",$DI$5:$DI$142)</f>
        <v>0</v>
      </c>
      <c r="DJ147" s="20">
        <f>SUMIF($E$5:$E$142,"111",$DJ$5:$DJ$142)</f>
        <v>0</v>
      </c>
      <c r="DK147" s="20">
        <f>SUMIF($E$5:$E$142,"111",$DK$5:$DK$142)</f>
        <v>71110022</v>
      </c>
      <c r="DL147" s="20">
        <f>SUMIF($E$5:$E$142,"111",$DL$5:$DL$142)</f>
        <v>82919086</v>
      </c>
      <c r="DM147" s="20">
        <f>SUMIF($E$5:$E$142,"111",$DM$5:$DM$142)</f>
        <v>152479051</v>
      </c>
      <c r="DN147" s="20">
        <f>SUMIF($E$5:$E$142,"111",$DN$5:$DN$142)</f>
        <v>23092680</v>
      </c>
      <c r="DO147" s="19">
        <f>SUMIF($E$5:$E$142,"111",$DO$5:$DO$142)</f>
        <v>0</v>
      </c>
      <c r="DP147" s="19">
        <f>SUMIF($E$5:$E$142,"111",$DP$5:$DP$142)</f>
        <v>71047242</v>
      </c>
      <c r="DQ147" s="19">
        <f>SUMIF($E$5:$E$142,"111",$DQ$5:$DQ$142)</f>
        <v>1432596</v>
      </c>
      <c r="DR147" s="19">
        <f>SUMIF($E$5:$E$142,"111",$DR$5:$DR$142)</f>
        <v>23000000</v>
      </c>
      <c r="DS147" s="19">
        <f>SUMIF($E$5:$E$142,"111",$DS$5:$DS$142)</f>
        <v>44104</v>
      </c>
      <c r="DT147" s="19">
        <f>SUMIF($E$5:$E$142,"111",$DT$5:$DT$142)</f>
        <v>0</v>
      </c>
      <c r="DU147" s="19">
        <f>SUMIF($E$5:$E$142,"111",$DU$5:$DU$142)</f>
        <v>61634298</v>
      </c>
      <c r="DV147" s="19">
        <f>SUMIF($E$5:$E$142,"111",$DV$5:$DV$142)</f>
        <v>0</v>
      </c>
      <c r="DW147" s="19">
        <f>SUMIF($E$5:$E$142,"111",$DW$5:$DW$142)</f>
        <v>0</v>
      </c>
      <c r="DX147" s="19">
        <f>SUMIF($E$5:$E$142,"111",$DX$5:$DX$142)</f>
        <v>0</v>
      </c>
      <c r="DY147" s="19">
        <f>SUMIF($E$5:$E$142,"111",$DY$5:$DY$142)</f>
        <v>123846638</v>
      </c>
      <c r="DZ147" s="19">
        <f>SUMIF($E$5:$E$142,"111",$DZ$5:$DZ$142)</f>
        <v>68445636</v>
      </c>
      <c r="EB147" s="162" t="s">
        <v>412</v>
      </c>
      <c r="EC147" s="162" t="s">
        <v>422</v>
      </c>
      <c r="ED147" s="163" t="s">
        <v>423</v>
      </c>
      <c r="EE147" s="163" t="s">
        <v>424</v>
      </c>
    </row>
    <row r="148" spans="3:135" ht="18" customHeight="1" x14ac:dyDescent="0.3">
      <c r="C148" s="36"/>
      <c r="D148" s="32" t="s">
        <v>17</v>
      </c>
      <c r="E148" s="31">
        <v>211</v>
      </c>
      <c r="F148" s="29"/>
      <c r="G148" s="24">
        <f>SUMIF($E$5:$E$142,"211",$G$5:$G$142)</f>
        <v>8014789419</v>
      </c>
      <c r="H148" s="30">
        <f>SUMIF($E$5:$E$143,"211",$H$5:$H$143)</f>
        <v>0</v>
      </c>
      <c r="I148" s="30">
        <f>SUMIF($E$5:$E$143,"211",$I$5:$I$143)</f>
        <v>263340125</v>
      </c>
      <c r="J148" s="30">
        <f>SUMIF($E$5:$E$143,"211",$J$5:$J$143)</f>
        <v>0</v>
      </c>
      <c r="K148" s="30">
        <f>SUMIF($E$5:$E$143,"211",$K$5:$K$143)</f>
        <v>1216000000</v>
      </c>
      <c r="L148" s="24">
        <f>SUMIF($E$5:$E$142,"211",$L$5:$L$142)</f>
        <v>0</v>
      </c>
      <c r="M148" s="29">
        <f>SUMIF($E$5:$E$142,"211",$M$5:$M$142)</f>
        <v>0</v>
      </c>
      <c r="N148" s="29">
        <f>SUMIF($E$5:$E$142,"211",$N$5:$N$142)</f>
        <v>244096406</v>
      </c>
      <c r="O148" s="29">
        <f>SUMIF($E$5:$E$142,"211",$O$5:$O$142)</f>
        <v>1906785637</v>
      </c>
      <c r="P148" s="29">
        <f>SUMIF($E$5:$E$142,"211",$P$5:$P$142)</f>
        <v>709630318</v>
      </c>
      <c r="Q148" s="29">
        <f>SUMIF($E$5:$E$142,"211",$Q$5:$Q$142)</f>
        <v>549800300</v>
      </c>
      <c r="R148" s="29">
        <f>SUMIF($E$5:$E$142,"211",$R$5:$R$142)</f>
        <v>170786495</v>
      </c>
      <c r="S148" s="29">
        <f>SUMIF($E$5:$E$142,"211",$S$5:$S$142)</f>
        <v>0</v>
      </c>
      <c r="T148" s="29">
        <f>SUMIF($E$5:$E$142,"211",$T$5:$T$142)</f>
        <v>50000000</v>
      </c>
      <c r="U148" s="29">
        <f>SUMIF($E$5:$E$142,"211",$U$5:$U$142)</f>
        <v>112491556</v>
      </c>
      <c r="V148" s="29">
        <f>SUMIF($E$5:$E$142,"211",$V$5:$V$142)</f>
        <v>172130178</v>
      </c>
      <c r="W148" s="29">
        <f>SUMIF($E$5:$E$142,"211",$W$5:$W$142)</f>
        <v>80000000</v>
      </c>
      <c r="X148" s="29">
        <f>SUMIF($E$5:$E$142,"211",$X$5:$X$142)</f>
        <v>347806613</v>
      </c>
      <c r="Y148" s="29">
        <f>SUMIF($E$5:$E$142,"211",$Y$5:$Y$142)</f>
        <v>812600000</v>
      </c>
      <c r="Z148" s="29">
        <f>SUMIF($E$5:$E$142,"211",$Z$5:$Z$142)</f>
        <v>210178916</v>
      </c>
      <c r="AA148" s="29">
        <f>SUMIF($E$5:$E$142,"211",$AA$5:$AA$142)</f>
        <v>0</v>
      </c>
      <c r="AB148" s="29"/>
      <c r="AC148" s="29">
        <f>SUMIF($E$5:$E$142,"211",$AC$5:$AC$142)</f>
        <v>241024250</v>
      </c>
      <c r="AD148" s="29">
        <f>SUMIF($E$5:$E$142,"211",$AD$5:$AD$142)</f>
        <v>928118625</v>
      </c>
      <c r="AE148" s="28">
        <f t="shared" si="154"/>
        <v>0.89952329850476886</v>
      </c>
      <c r="AF148" s="24">
        <f>SUMIF($E$5:$E$142,"211",$AF$5:$AF$142)</f>
        <v>7209489815</v>
      </c>
      <c r="AG148" s="24">
        <f>SUMIF($E$5:$E$142,"211",$AG$5:$AG$142)</f>
        <v>0</v>
      </c>
      <c r="AH148" s="24">
        <f>SUMIF($E$5:$E$142,"211",$AH$5:$AH$142)</f>
        <v>258340125</v>
      </c>
      <c r="AI148" s="24">
        <f>SUMIF($E$5:$E$142,"211",$AI$5:$AI$142)</f>
        <v>0</v>
      </c>
      <c r="AJ148" s="24">
        <f>SUMIF($E$5:$E$142,"211",$AJ$5:$AJ$142)</f>
        <v>1216000000</v>
      </c>
      <c r="AK148" s="24">
        <f>SUMIF($E$5:$E$142,"211",$AK$5:$AK$142)</f>
        <v>0</v>
      </c>
      <c r="AL148" s="24">
        <f>SUMIF($E$5:$E$142,"211",$AL$5:$AL$142)</f>
        <v>0</v>
      </c>
      <c r="AM148" s="24">
        <f>SUMIF($E$5:$E$142,"211",$AM$5:$AM$142)</f>
        <v>236438964</v>
      </c>
      <c r="AN148" s="24">
        <f>SUMIF($E$5:$E$142,"211",$AN$5:$AN$142)</f>
        <v>1772607849</v>
      </c>
      <c r="AO148" s="24">
        <f>SUMIF($E$5:$E$142,"211",$AO$5:$AO$142)</f>
        <v>626197714</v>
      </c>
      <c r="AP148" s="24">
        <f>SUMIF($E$5:$E$142,"211",$AP$5:$AP$142)</f>
        <v>434683892</v>
      </c>
      <c r="AQ148" s="24">
        <f>SUMIF($E$5:$E$142,"211",$AQ$5:$AQ$142)</f>
        <v>75566279</v>
      </c>
      <c r="AR148" s="24">
        <f>SUMIF($E$5:$E$142,"211",$AR$5:$AR$142)</f>
        <v>0</v>
      </c>
      <c r="AS148" s="24">
        <f>SUMIF($E$5:$E$142,"211",$AS$5:$AS$142)</f>
        <v>45000000</v>
      </c>
      <c r="AT148" s="24">
        <f>SUMIF($E$5:$E$142,"211",$AT$5:$AT$142)</f>
        <v>28845816</v>
      </c>
      <c r="AU148" s="24">
        <f>SUMIF($E$5:$E$142,"211",$AU$5:$AU$142)</f>
        <v>172130178</v>
      </c>
      <c r="AV148" s="24">
        <f>SUMIF($E$5:$E$142,"211",$AV$5:$AV$142)</f>
        <v>80000000</v>
      </c>
      <c r="AW148" s="24">
        <f>SUMIF($E$5:$E$142,"211",$AW$5:$AW$142)</f>
        <v>341490366</v>
      </c>
      <c r="AX148" s="24">
        <f>SUMIF($E$5:$E$142,"211",$AX$5:$AX$142)</f>
        <v>804883055</v>
      </c>
      <c r="AY148" s="24">
        <f>SUMIF($E$5:$E$142,"211",$AY$5:$AY$142)</f>
        <v>210178916</v>
      </c>
      <c r="AZ148" s="24">
        <f>SUMIF($E$5:$E$142,"211",$AZ$5:$AZ$142)</f>
        <v>0</v>
      </c>
      <c r="BA148" s="24">
        <f>SUMIF($E$5:$E$142,"211",$BA$5:$BA$142)</f>
        <v>0</v>
      </c>
      <c r="BB148" s="24">
        <f>SUMIF($E$5:$E$142,"211",$BB$5:$BB$142)</f>
        <v>168962884</v>
      </c>
      <c r="BC148" s="24">
        <f>SUMIF($E$5:$E$142,"211",$BC$5:$BC$142)</f>
        <v>738163777</v>
      </c>
      <c r="BD148" s="27">
        <f t="shared" si="155"/>
        <v>0.10047670149523114</v>
      </c>
      <c r="BE148" s="21">
        <f t="shared" si="156"/>
        <v>805299604</v>
      </c>
      <c r="BF148" s="20">
        <f>SUMIF($E$5:$E$142,"211",$BF$5:$BF$142)</f>
        <v>0</v>
      </c>
      <c r="BG148" s="20">
        <f>SUMIF($E$5:$E$142,"211",$BG$5:$BG$142)</f>
        <v>5000000</v>
      </c>
      <c r="BH148" s="20">
        <f>SUMIF($E$5:$E$142,"211",$BH$5:$BH$142)</f>
        <v>0</v>
      </c>
      <c r="BI148" s="20">
        <f>SUMIF($E$5:$E$142,"211",$BI$5:$BI$142)</f>
        <v>0</v>
      </c>
      <c r="BJ148" s="20">
        <f>SUMIF($E$5:$E$142,"211",$BJ$5:$BJ$142)</f>
        <v>0</v>
      </c>
      <c r="BK148" s="20">
        <f>SUMIF($E$5:$E$142,"211",$BK$5:$BK$142)</f>
        <v>0</v>
      </c>
      <c r="BL148" s="20">
        <f>SUMIF($E$5:$E$142,"211",$BL$5:$BL$142)</f>
        <v>7657442</v>
      </c>
      <c r="BM148" s="20">
        <f>SUMIF($E$5:$E$142,"211",$BM$5:$BM$142)</f>
        <v>134177788</v>
      </c>
      <c r="BN148" s="20">
        <f>SUMIF($E$5:$E$142,"211",$BN$5:$BN$142)</f>
        <v>83432604</v>
      </c>
      <c r="BO148" s="20">
        <f>SUMIF($E$5:$E$142,"211",$BO$5:$BO$142)</f>
        <v>115116408</v>
      </c>
      <c r="BP148" s="20">
        <f>SUMIF($E$5:$E$142,"211",$BP$5:$BP$142)</f>
        <v>95220216</v>
      </c>
      <c r="BQ148" s="20">
        <f>SUMIF($E$5:$E$142,"211",$BQ$5:$BQ$142)</f>
        <v>0</v>
      </c>
      <c r="BR148" s="20">
        <f>SUMIF($E$5:$E$142,"211",$BR$5:$BR$142)</f>
        <v>5000000</v>
      </c>
      <c r="BS148" s="20">
        <f>SUMIF($E$5:$E$142,"211",$BS$5:$BS$142)</f>
        <v>83645740</v>
      </c>
      <c r="BT148" s="20">
        <f>SUMIF($E$5:$E$142,"211",$BT$5:$BT$142)</f>
        <v>0</v>
      </c>
      <c r="BU148" s="20">
        <f>SUMIF($E$5:$E$142,"211",$BU$5:$BU$142)</f>
        <v>0</v>
      </c>
      <c r="BV148" s="20">
        <f>SUMIF($E$5:$E$142,"211",$BV$5:$BV$142)</f>
        <v>6316247</v>
      </c>
      <c r="BW148" s="20">
        <f>SUMIF($E$5:$E$142,"211",$BW$5:$BW$142)</f>
        <v>7716945</v>
      </c>
      <c r="BX148" s="20">
        <f>SUMIF($E$5:$E$142,"211",$BX$5:$BX$142)</f>
        <v>0</v>
      </c>
      <c r="BY148" s="20">
        <f>SUMIF($E$5:$E$142,"211",$BY$5:$BY$142)</f>
        <v>0</v>
      </c>
      <c r="BZ148" s="20">
        <f>SUMIF($E$5:$E$142,"211",$BZ$5:$BZ$142)</f>
        <v>0</v>
      </c>
      <c r="CA148" s="20">
        <f>SUMIF($E$5:$E$142,"211",$CA$5:$CA$142)</f>
        <v>72061366</v>
      </c>
      <c r="CB148" s="26">
        <f>SUMIF($E$5:$E$142,"211",$CB$5:$CB$142)</f>
        <v>189954848</v>
      </c>
      <c r="CC148" s="25">
        <f t="shared" si="157"/>
        <v>0.51054136310802056</v>
      </c>
      <c r="CD148" s="35">
        <f t="shared" si="158"/>
        <v>4091881515</v>
      </c>
      <c r="CE148" s="24">
        <f>SUMIF($E$5:$E$142,"211",$CE$5:$CE$142)</f>
        <v>0</v>
      </c>
      <c r="CF148" s="24">
        <f>SUMIF($E$5:$E$142,"211",$CF$5:$CF$142)</f>
        <v>258340123</v>
      </c>
      <c r="CG148" s="24">
        <f>SUMIF($E$5:$E$142,"211",$CG$5:$CG$142)</f>
        <v>0</v>
      </c>
      <c r="CH148" s="24">
        <f>SUMIF($E$5:$E$142,"211",$CH$5:$CH$142)</f>
        <v>0</v>
      </c>
      <c r="CI148" s="24">
        <f>SUMIF($E$5:$E$142,"211",$CI$5:$CI$142)</f>
        <v>0</v>
      </c>
      <c r="CJ148" s="24">
        <f>SUMIF($E$5:$E$142,"211",$CJ$5:$CJ$142)</f>
        <v>0</v>
      </c>
      <c r="CK148" s="24">
        <f>SUMIF($E$5:$E$142,"211",$CK$5:$CK$142)</f>
        <v>236438964</v>
      </c>
      <c r="CL148" s="24">
        <f>SUMIF($E$5:$E$142,"211",$CL$5:$CL$142)</f>
        <v>1415873566</v>
      </c>
      <c r="CM148" s="24">
        <f>SUMIF($E$5:$E$142,"211",$CM$5:$CM$142)</f>
        <v>187193274</v>
      </c>
      <c r="CN148" s="24">
        <f>SUMIF($E$5:$E$142,"211",$CN$5:$CN$142)</f>
        <v>92883592</v>
      </c>
      <c r="CO148" s="24">
        <f>SUMIF($E$5:$E$142,"211",$CO$5:$CO$142)</f>
        <v>41135657</v>
      </c>
      <c r="CP148" s="24">
        <f>SUMIF($E$5:$E$142,"211",$CP$5:$CP$142)</f>
        <v>0</v>
      </c>
      <c r="CQ148" s="24">
        <f>SUMIF($E$5:$E$142,"211",$CQ$5:$CQ$142)</f>
        <v>0</v>
      </c>
      <c r="CR148" s="24">
        <f>SUMIF($E$5:$E$142,"211",$CR$5:$CR$142)</f>
        <v>0</v>
      </c>
      <c r="CS148" s="24">
        <f>SUMIF($E$5:$E$142,"211",$CS$5:$CS$142)</f>
        <v>20000000</v>
      </c>
      <c r="CT148" s="24">
        <f>SUMIF($E$5:$E$142,"211",$CT$5:$CT$142)</f>
        <v>56408945</v>
      </c>
      <c r="CU148" s="24">
        <f>SUMIF($E$5:$E$142,"211",$CU$5:$CU$142)</f>
        <v>314411289</v>
      </c>
      <c r="CV148" s="24">
        <f>SUMIF($E$5:$E$142,"211",$CV$5:$CV$142)</f>
        <v>803275063</v>
      </c>
      <c r="CW148" s="24">
        <f>SUMIF($E$5:$E$142,"211",$CW$5:$CW$142)</f>
        <v>106710000</v>
      </c>
      <c r="CX148" s="24">
        <f>SUMIF($E$5:$E$142,"211",$CX$5:$CX$142)</f>
        <v>0</v>
      </c>
      <c r="CY148" s="24">
        <f>SUMIF($E$5:$E$142,"211",$CY$5:$CY$142)</f>
        <v>0</v>
      </c>
      <c r="CZ148" s="24">
        <f>SUMIF($E$5:$E$142,"211",$CZ$5:$CZ$142)</f>
        <v>144299911</v>
      </c>
      <c r="DA148" s="23">
        <f>SUMIF($E$5:$E$142,"211",$DA$5:$DA$142)</f>
        <v>414911131</v>
      </c>
      <c r="DB148" s="22">
        <f t="shared" si="159"/>
        <v>0.48945863689197944</v>
      </c>
      <c r="DC148" s="21">
        <f t="shared" ca="1" si="160"/>
        <v>3922907904</v>
      </c>
      <c r="DD148" s="20">
        <f ca="1">SUMIF($E$5:$E$143,"211",$DD$5:$DD$142)</f>
        <v>0</v>
      </c>
      <c r="DE148" s="20">
        <f>SUMIF($E$5:$E$142,"211",$DE$5:$DE$142)</f>
        <v>5000002</v>
      </c>
      <c r="DF148" s="20">
        <f>SUMIF($E$5:$E$142,"211",$DF$5:$DF$142)</f>
        <v>0</v>
      </c>
      <c r="DG148" s="20">
        <f>SUMIF($E$5:$E$142,"211",$DG$5:$DG$142)</f>
        <v>1216000000</v>
      </c>
      <c r="DH148" s="20">
        <f>SUMIF($E$5:$E$142,"211",$DH$5:$DH$142)</f>
        <v>0</v>
      </c>
      <c r="DI148" s="20">
        <f>SUMIF($E$5:$E$142,"211",$DI$5:$DI$142)</f>
        <v>0</v>
      </c>
      <c r="DJ148" s="20">
        <f>SUMIF($E$5:$E$142,"211",$DJ$5:$DJ$142)</f>
        <v>7657442</v>
      </c>
      <c r="DK148" s="20">
        <f>SUMIF($E$5:$E$142,"211",$DK$5:$DK$142)</f>
        <v>490912071</v>
      </c>
      <c r="DL148" s="20">
        <f>SUMIF($E$5:$E$142,"211",$DL$5:$DL$142)</f>
        <v>522437044</v>
      </c>
      <c r="DM148" s="20">
        <f>SUMIF($E$5:$E$142,"211",$DM$5:$DM$142)</f>
        <v>456916708</v>
      </c>
      <c r="DN148" s="19">
        <f>SUMIF($E$5:$E$142,"211",$DN$5:$DN$142)</f>
        <v>129650838</v>
      </c>
      <c r="DO148" s="19">
        <f>SUMIF($E$5:$E$142,"211",$DO$5:$DO$142)</f>
        <v>0</v>
      </c>
      <c r="DP148" s="19">
        <f>SUMIF($E$5:$E$142,"211",$DP$5:$DP$142)</f>
        <v>50000000</v>
      </c>
      <c r="DQ148" s="19">
        <f>SUMIF($E$5:$E$142,"211",$DQ$5:$DQ$142)</f>
        <v>112491556</v>
      </c>
      <c r="DR148" s="19">
        <f>SUMIF($E$5:$E$142,"211",$DR$5:$DR$142)</f>
        <v>152130178</v>
      </c>
      <c r="DS148" s="19">
        <f>SUMIF($E$5:$E$142,"211",$DS$5:$DS$142)</f>
        <v>23591055</v>
      </c>
      <c r="DT148" s="19">
        <f>SUMIF($E$5:$E$142,"211",$DT$5:$DT$142)</f>
        <v>33395324</v>
      </c>
      <c r="DU148" s="19">
        <f>SUMIF($E$5:$E$142,"211",$DU$5:$DU$142)</f>
        <v>9324937</v>
      </c>
      <c r="DV148" s="19">
        <f>SUMIF($E$5:$E$142,"211",$DV$5:$DV$142)</f>
        <v>103468916</v>
      </c>
      <c r="DW148" s="19">
        <f>SUMIF($E$5:$E$142,"211",$DW$5:$DW$142)</f>
        <v>0</v>
      </c>
      <c r="DX148" s="19">
        <f>SUMIF($E$5:$E$142,"211",$DX$5:$DX$142)</f>
        <v>0</v>
      </c>
      <c r="DY148" s="19">
        <f>SUMIF($E$5:$E$142,"211",$DY$5:$DY$142)</f>
        <v>96724339</v>
      </c>
      <c r="DZ148" s="19">
        <f>SUMIF($E$5:$E$142,"211",$DZ$5:$DZ$142)</f>
        <v>513207494</v>
      </c>
      <c r="EB148" s="165" t="s">
        <v>430</v>
      </c>
      <c r="EC148" s="175">
        <v>13043802420</v>
      </c>
      <c r="ED148" s="175">
        <v>1864751067</v>
      </c>
      <c r="EE148" s="176">
        <f>+CC147</f>
        <v>0.14296069558220126</v>
      </c>
    </row>
    <row r="149" spans="3:135" ht="18" customHeight="1" x14ac:dyDescent="0.3">
      <c r="C149" s="36"/>
      <c r="D149" s="32" t="s">
        <v>16</v>
      </c>
      <c r="E149" s="37">
        <v>301</v>
      </c>
      <c r="F149" s="29"/>
      <c r="G149" s="24">
        <f>SUMIF($E$5:$E$142,"301",$G$5:$G$142)</f>
        <v>3687641610</v>
      </c>
      <c r="H149" s="30">
        <f>SUMIF($E$5:$E$143,"301",$H$5:$H$143)</f>
        <v>444106222</v>
      </c>
      <c r="I149" s="30">
        <f>SUMIF($E$5:$E$143,"301",$I$5:$I$143)</f>
        <v>180000000</v>
      </c>
      <c r="J149" s="30">
        <f>SUMIF($E$5:$E$143,"301",$J$5:$J$143)</f>
        <v>0</v>
      </c>
      <c r="K149" s="30">
        <f>SUMIF($E$5:$E$143,"301",$K$5:$K$143)</f>
        <v>681816144</v>
      </c>
      <c r="L149" s="24">
        <f>SUMIF($E$5:$E$142,"301",$L$5:$L$142)</f>
        <v>0</v>
      </c>
      <c r="M149" s="29">
        <f>SUMIF($E$5:$E$142,"301",$M$5:$M$142)</f>
        <v>208000000</v>
      </c>
      <c r="N149" s="29">
        <f>SUMIF($E$5:$E$142,"301",$N$5:$N$142)</f>
        <v>0</v>
      </c>
      <c r="O149" s="29">
        <f>SUMIF($E$5:$E$142,"301",$O$5:$O$142)</f>
        <v>0</v>
      </c>
      <c r="P149" s="29">
        <f>SUMIF($E$5:$E$142,"301",$P$5:$P$142)</f>
        <v>0</v>
      </c>
      <c r="Q149" s="29">
        <f>SUMIF($E$5:$E$142,"301",$Q$5:$Q$142)</f>
        <v>0</v>
      </c>
      <c r="R149" s="29">
        <f>SUMIF($E$5:$E$142,"301",$R$5:$R$142)</f>
        <v>0</v>
      </c>
      <c r="S149" s="29">
        <f>SUMIF($E$5:$E$142,"301",$S$5:$S$142)</f>
        <v>0</v>
      </c>
      <c r="T149" s="29">
        <f>SUMIF($E$5:$E$142,"301",$T$5:$T$142)</f>
        <v>0</v>
      </c>
      <c r="U149" s="29">
        <f>SUMIF($E$5:$E$142,"301",$U$5:$U$142)</f>
        <v>0</v>
      </c>
      <c r="V149" s="29">
        <f>SUMIF($E$5:$E$142,"301",$V$5:$V$142)</f>
        <v>0</v>
      </c>
      <c r="W149" s="29">
        <f>SUMIF($E$5:$E$142,"301",$W$5:$W$142)</f>
        <v>0</v>
      </c>
      <c r="X149" s="29">
        <f>SUMIF($E$5:$E$142,"301",$X$5:$X$142)</f>
        <v>100000000</v>
      </c>
      <c r="Y149" s="29">
        <f>SUMIF($E$5:$E$142,"301",$Y$5:$Y$142)</f>
        <v>32712008</v>
      </c>
      <c r="Z149" s="29">
        <f>SUMIF($E$5:$E$142,"301",$Z$5:$Z$142)</f>
        <v>114788955</v>
      </c>
      <c r="AA149" s="29">
        <f>SUMIF($E$5:$E$142,"301",$AA$5:$AA$142)</f>
        <v>1770728185</v>
      </c>
      <c r="AB149" s="29"/>
      <c r="AC149" s="29">
        <f>SUMIF($E$5:$E$142,"301",$AC$5:$AC$142)</f>
        <v>0</v>
      </c>
      <c r="AD149" s="29">
        <f>SUMIF($E$5:$E$142,"301",$AD$5:$AD$142)</f>
        <v>155490096</v>
      </c>
      <c r="AE149" s="28">
        <f t="shared" si="154"/>
        <v>0.98417319084323929</v>
      </c>
      <c r="AF149" s="24">
        <f>SUMIF($E$5:$E$142,"301",$AF$5:$AF$142)</f>
        <v>3629278010</v>
      </c>
      <c r="AG149" s="24">
        <f>SUMIF($E$5:$E$142,"301",$AG$5:$AG$142)</f>
        <v>444103222</v>
      </c>
      <c r="AH149" s="24">
        <f>SUMIF($E$5:$E$142,"301",$AH$5:$AH$142)</f>
        <v>180000000</v>
      </c>
      <c r="AI149" s="24">
        <f>SUMIF($E$5:$E$142,"301",$AI$5:$AI$142)</f>
        <v>0</v>
      </c>
      <c r="AJ149" s="24">
        <f>SUMIF($E$5:$E$142,"301",$AJ$5:$AJ$142)</f>
        <v>681816144</v>
      </c>
      <c r="AK149" s="24">
        <f>SUMIF($E$5:$E$142,"301",$AK$5:$AK$142)</f>
        <v>0</v>
      </c>
      <c r="AL149" s="24">
        <f>SUMIF($E$5:$E$142,"301",$AL$5:$AL$142)</f>
        <v>208000000</v>
      </c>
      <c r="AM149" s="24">
        <f>SUMIF($E$5:$E$142,"301",$AM$5:$AM$142)</f>
        <v>0</v>
      </c>
      <c r="AN149" s="24">
        <f>SUMIF($E$5:$E$142,"301",$AN$5:$AN$142)</f>
        <v>0</v>
      </c>
      <c r="AO149" s="24">
        <f>SUMIF($E$5:$E$142,"301",$AO$5:$AO$142)</f>
        <v>0</v>
      </c>
      <c r="AP149" s="24">
        <f>SUMIF($E$5:$E$142,"301",$AP$5:$AP$142)</f>
        <v>0</v>
      </c>
      <c r="AQ149" s="24">
        <f>SUMIF($E$5:$E$142,"301",$AQ$5:$AQ$142)</f>
        <v>0</v>
      </c>
      <c r="AR149" s="24">
        <f>SUMIF($E$5:$E$142,"301",$AR$5:$AR$142)</f>
        <v>0</v>
      </c>
      <c r="AS149" s="24">
        <f>SUMIF($E$5:$E$142,"301",$AS$5:$AS$142)</f>
        <v>0</v>
      </c>
      <c r="AT149" s="24">
        <f>SUMIF($E$5:$E$142,"301",$AT$5:$AT$142)</f>
        <v>0</v>
      </c>
      <c r="AU149" s="24">
        <f>SUMIF($E$5:$E$142,"301",$AU$5:$AU$142)</f>
        <v>0</v>
      </c>
      <c r="AV149" s="24">
        <f>SUMIF($E$5:$E$142,"301",$AV$5:$AV$142)</f>
        <v>0</v>
      </c>
      <c r="AW149" s="24">
        <f>SUMIF($E$5:$E$142,"301",$AW$5:$AW$142)</f>
        <v>99046000</v>
      </c>
      <c r="AX149" s="24">
        <f>SUMIF($E$5:$E$142,"301",$AX$5:$AX$142)</f>
        <v>32712008</v>
      </c>
      <c r="AY149" s="24">
        <f>SUMIF($E$5:$E$142,"301",$AY$5:$AY$142)</f>
        <v>113788955</v>
      </c>
      <c r="AZ149" s="24">
        <f>SUMIF($E$5:$E$142,"301",$AZ$5:$AZ$142)</f>
        <v>1770547588</v>
      </c>
      <c r="BA149" s="24">
        <f>SUMIF($E$5:$E$142,"301",$BA$5:$BA$142)</f>
        <v>0</v>
      </c>
      <c r="BB149" s="24">
        <f>SUMIF($E$5:$E$142,"301",$BB$5:$BB$142)</f>
        <v>0</v>
      </c>
      <c r="BC149" s="24">
        <f>SUMIF($E$5:$E$142,"301",$BC$5:$BC$142)</f>
        <v>99264093</v>
      </c>
      <c r="BD149" s="27">
        <f t="shared" si="155"/>
        <v>1.5826809156760713E-2</v>
      </c>
      <c r="BE149" s="21">
        <f t="shared" si="156"/>
        <v>58363600</v>
      </c>
      <c r="BF149" s="20">
        <f>SUMIF($E$5:$E$142,"301",$BF$5:$BF$142)</f>
        <v>3000</v>
      </c>
      <c r="BG149" s="20">
        <f>SUMIF($E$5:$E$142,"301",$BG$5:$BG$142)</f>
        <v>0</v>
      </c>
      <c r="BH149" s="20">
        <f>SUMIF($E$5:$E$142,"301",$BH$5:$BH$142)</f>
        <v>0</v>
      </c>
      <c r="BI149" s="20">
        <f>SUMIF($E$5:$E$142,"301",$BI$5:$BI$142)</f>
        <v>0</v>
      </c>
      <c r="BJ149" s="20">
        <f>SUMIF($E$5:$E$142,"301",$BJ$5:$BJ$142)</f>
        <v>0</v>
      </c>
      <c r="BK149" s="20">
        <f>SUMIF($E$5:$E$142,"301",$BK$5:$BK$142)</f>
        <v>0</v>
      </c>
      <c r="BL149" s="20">
        <f>SUMIF($E$5:$E$142,"301",$BL$5:$BL$142)</f>
        <v>0</v>
      </c>
      <c r="BM149" s="20">
        <f>SUMIF($E$5:$E$142,"301",$BM$5:$BM$142)</f>
        <v>0</v>
      </c>
      <c r="BN149" s="20">
        <f>SUMIF($E$5:$E$142,"301",$BN$5:$BN$142)</f>
        <v>0</v>
      </c>
      <c r="BO149" s="20">
        <f>SUMIF($E$5:$E$142,"301",$BO$5:$BO$142)</f>
        <v>0</v>
      </c>
      <c r="BP149" s="20">
        <f>SUMIF($E$5:$E$142,"301",$BP$5:$BP$142)</f>
        <v>0</v>
      </c>
      <c r="BQ149" s="20">
        <f>SUMIF($E$5:$E$142,"301",$BQ$5:$BQ$142)</f>
        <v>0</v>
      </c>
      <c r="BR149" s="20">
        <f>SUMIF($E$5:$E$142,"301",$BR$5:$BR$142)</f>
        <v>0</v>
      </c>
      <c r="BS149" s="20">
        <f>SUMIF($E$5:$E$142,"301",$BS$5:$BS$142)</f>
        <v>0</v>
      </c>
      <c r="BT149" s="20">
        <f>SUMIF($E$5:$E$142,"301",$BT$5:$BT$142)</f>
        <v>0</v>
      </c>
      <c r="BU149" s="20">
        <f>SUMIF($E$5:$E$142,"301",$BU$5:$BU$142)</f>
        <v>0</v>
      </c>
      <c r="BV149" s="20">
        <f>SUMIF($E$5:$E$142,"301",$BV$5:$BV$142)</f>
        <v>954000</v>
      </c>
      <c r="BW149" s="20">
        <f>SUMIF($E$5:$E$142,"301",$BW$5:$BW$142)</f>
        <v>0</v>
      </c>
      <c r="BX149" s="20">
        <f>SUMIF($E$5:$E$142,"301",$BX$5:$BX$142)</f>
        <v>1000000</v>
      </c>
      <c r="BY149" s="20">
        <f>SUMIF($E$5:$E$142,"301",$BY$5:$BY$142)</f>
        <v>180597</v>
      </c>
      <c r="BZ149" s="20">
        <f>SUMIF($E$5:$E$142,"301",$BZ$5:$BZ$142)</f>
        <v>0</v>
      </c>
      <c r="CA149" s="20">
        <f>SUMIF($E$5:$E$142,"301",$CA$5:$CA$142)</f>
        <v>0</v>
      </c>
      <c r="CB149" s="26">
        <f>SUMIF($E$5:$E$142,"301",$CB$5:$CB$142)</f>
        <v>56226003</v>
      </c>
      <c r="CC149" s="25">
        <f t="shared" si="157"/>
        <v>0.78081371687309931</v>
      </c>
      <c r="CD149" s="35">
        <f t="shared" si="158"/>
        <v>2879361152</v>
      </c>
      <c r="CE149" s="24">
        <f>SUMIF($E$5:$E$142,"301",$CE$5:$CE$142)</f>
        <v>442882518</v>
      </c>
      <c r="CF149" s="24">
        <f>SUMIF($E$5:$E$142,"301",$CF$5:$CF$142)</f>
        <v>170103390</v>
      </c>
      <c r="CG149" s="24">
        <f>SUMIF($E$5:$E$142,"301",$CG$5:$CG$142)</f>
        <v>0</v>
      </c>
      <c r="CH149" s="24">
        <f>SUMIF($E$5:$E$142,"301",$CH$5:$CH$142)</f>
        <v>108959308</v>
      </c>
      <c r="CI149" s="24">
        <f>SUMIF($E$5:$E$142,"301",$CI$5:$CI$142)</f>
        <v>0</v>
      </c>
      <c r="CJ149" s="24">
        <f>SUMIF($E$5:$E$142,"301",$CJ$5:$CJ$142)</f>
        <v>205876669</v>
      </c>
      <c r="CK149" s="24">
        <f>SUMIF($E$5:$E$142,"301",$CK$5:$CK$142)</f>
        <v>0</v>
      </c>
      <c r="CL149" s="24">
        <f>SUMIF($E$5:$E$142,"301",$CL$5:$CL$142)</f>
        <v>0</v>
      </c>
      <c r="CM149" s="24">
        <f>SUMIF($E$5:$E$142,"301",$CM$5:$CM$142)</f>
        <v>0</v>
      </c>
      <c r="CN149" s="24">
        <f>SUMIF($E$5:$E$142,"301",$CN$5:$CN$142)</f>
        <v>0</v>
      </c>
      <c r="CO149" s="24">
        <f>SUMIF($E$5:$E$142,"301",$CO$5:$CO$142)</f>
        <v>0</v>
      </c>
      <c r="CP149" s="24">
        <f>SUMIF($E$5:$E$142,"301",$CP$5:$CP$142)</f>
        <v>0</v>
      </c>
      <c r="CQ149" s="24">
        <f>SUMIF($E$5:$E$142,"301",$CQ$5:$CQ$142)</f>
        <v>0</v>
      </c>
      <c r="CR149" s="24">
        <f>SUMIF($E$5:$E$142,"301",$CR$5:$CR$142)</f>
        <v>0</v>
      </c>
      <c r="CS149" s="24">
        <f>SUMIF($E$5:$E$142,"301",$CS$5:$CS$142)</f>
        <v>0</v>
      </c>
      <c r="CT149" s="24">
        <f>SUMIF($E$5:$E$142,"301",$CT$5:$CT$142)</f>
        <v>0</v>
      </c>
      <c r="CU149" s="24">
        <f>SUMIF($E$5:$E$142,"301",$CU$5:$CU$142)</f>
        <v>96846000</v>
      </c>
      <c r="CV149" s="24">
        <f>SUMIF($E$5:$E$142,"301",$CV$5:$CV$142)</f>
        <v>27246666</v>
      </c>
      <c r="CW149" s="24">
        <f>SUMIF($E$5:$E$142,"301",$CW$5:$CW$142)</f>
        <v>50941940</v>
      </c>
      <c r="CX149" s="24">
        <f>SUMIF($E$5:$E$142,"301",$CX$5:$CX$142)</f>
        <v>1694221856</v>
      </c>
      <c r="CY149" s="24">
        <f>SUMIF($E$5:$E$142,"301",$CY$5:$CY$142)</f>
        <v>0</v>
      </c>
      <c r="CZ149" s="24">
        <f>SUMIF($E$5:$E$142,"301",$CZ$5:$CZ$142)</f>
        <v>0</v>
      </c>
      <c r="DA149" s="23">
        <f>SUMIF($E$5:$E$142,"301",$DA$5:$DA$142)</f>
        <v>82282805</v>
      </c>
      <c r="DB149" s="22">
        <f t="shared" si="159"/>
        <v>0.21918628312690069</v>
      </c>
      <c r="DC149" s="21">
        <f t="shared" ca="1" si="160"/>
        <v>808280458</v>
      </c>
      <c r="DD149" s="20">
        <f ca="1">SUMIF($E$5:$E$143,"301",$DD$5:$DD$142)</f>
        <v>1223704</v>
      </c>
      <c r="DE149" s="20">
        <f>SUMIF($E$5:$E$142,"301",$DE$5:$DE$142)</f>
        <v>9896610</v>
      </c>
      <c r="DF149" s="20">
        <f>SUMIF($E$5:$E$142,"301",$DF$5:$DF$142)</f>
        <v>0</v>
      </c>
      <c r="DG149" s="20">
        <f>SUMIF($E$5:$E$142,"301",$DG$5:$DG$142)</f>
        <v>572856836</v>
      </c>
      <c r="DH149" s="20">
        <f>SUMIF($E$5:$E$142,"301",$DH$5:$DH$142)</f>
        <v>0</v>
      </c>
      <c r="DI149" s="20">
        <f>SUMIF($E$5:$E$142,"301",$DI$5:$DI$142)</f>
        <v>2123331</v>
      </c>
      <c r="DJ149" s="20">
        <f>SUMIF($E$5:$E$142,"301",$DJ$5:$DJ$142)</f>
        <v>0</v>
      </c>
      <c r="DK149" s="20">
        <f>SUMIF($E$5:$E$142,"301",$DK$5:$DK$142)</f>
        <v>0</v>
      </c>
      <c r="DL149" s="20">
        <f>SUMIF($E$5:$E$142,"301",$DL$5:$DL$142)</f>
        <v>0</v>
      </c>
      <c r="DM149" s="20">
        <f>SUMIF($E$5:$E$142,"301",$DM$5:$DM$142)</f>
        <v>0</v>
      </c>
      <c r="DN149" s="19">
        <f>SUMIF($E$5:$E$142,"301",$DN$5:$DN$142)</f>
        <v>0</v>
      </c>
      <c r="DO149" s="19">
        <f>SUMIF($E$5:$E$142,"301",$DO$5:$DO$142)</f>
        <v>0</v>
      </c>
      <c r="DP149" s="19">
        <f>SUMIF($E$5:$E$142,"301",$DP$5:$DP$142)</f>
        <v>0</v>
      </c>
      <c r="DQ149" s="19">
        <f>SUMIF($E$5:$E$142,"301",$DQ$5:$DQ$142)</f>
        <v>0</v>
      </c>
      <c r="DR149" s="19">
        <f>SUMIF($E$5:$E$142,"301",$DR$5:$DR$142)</f>
        <v>0</v>
      </c>
      <c r="DS149" s="19">
        <f>SUMIF($E$5:$E$142,"301",$DS$5:$DS$142)</f>
        <v>0</v>
      </c>
      <c r="DT149" s="19">
        <f>SUMIF($E$5:$E$142,"301",$DT$5:$DT$142)</f>
        <v>3154000</v>
      </c>
      <c r="DU149" s="19">
        <f>SUMIF($E$5:$E$142,"301",$DU$5:$DU$142)</f>
        <v>5465342</v>
      </c>
      <c r="DV149" s="19">
        <f>SUMIF($E$5:$E$142,"301",$DV$5:$DV$142)</f>
        <v>63847015</v>
      </c>
      <c r="DW149" s="19">
        <f>SUMIF($E$5:$E$142,"301",$DW$5:$DW$142)</f>
        <v>76506329</v>
      </c>
      <c r="DX149" s="19">
        <f>SUMIF($E$5:$E$142,"301",$DX$5:$DX$142)</f>
        <v>0</v>
      </c>
      <c r="DY149" s="19">
        <f>SUMIF($E$5:$E$142,"301",$DY$5:$DY$142)</f>
        <v>0</v>
      </c>
      <c r="DZ149" s="19">
        <f>SUMIF($E$5:$E$142,"301",$DZ$5:$DZ$142)</f>
        <v>73207291</v>
      </c>
      <c r="EB149" s="165" t="s">
        <v>431</v>
      </c>
      <c r="EC149" s="175">
        <v>8014789419</v>
      </c>
      <c r="ED149" s="175">
        <v>4091881515</v>
      </c>
      <c r="EE149" s="176">
        <f t="shared" ref="EE149:EE154" si="161">+CC148</f>
        <v>0.51054136310802056</v>
      </c>
    </row>
    <row r="150" spans="3:135" ht="16.5" customHeight="1" x14ac:dyDescent="0.3">
      <c r="C150" s="36"/>
      <c r="D150" s="32" t="s">
        <v>15</v>
      </c>
      <c r="E150" s="31">
        <v>310</v>
      </c>
      <c r="F150" s="29"/>
      <c r="G150" s="24">
        <f>SUMIF($E$5:$E$142,"310",$G$5:$G$142)</f>
        <v>1076000000</v>
      </c>
      <c r="H150" s="30">
        <f>SUMIF($E$5:$E$142,"310",$H$5:$H$142)</f>
        <v>0</v>
      </c>
      <c r="I150" s="30">
        <f>SUMIF($E$5:$E$142,"310",$I$5:$I$142)</f>
        <v>540000000</v>
      </c>
      <c r="J150" s="30">
        <f>SUMIF($E$5:$E$143,"310",$J$5:$J$143)</f>
        <v>0</v>
      </c>
      <c r="K150" s="30">
        <f>SUMIF($E$5:$E$143,"310",$K$5:$K$143)</f>
        <v>300000000</v>
      </c>
      <c r="L150" s="24">
        <f>SUMIF($E$5:$E$142,"310",$L$5:$L$142)</f>
        <v>0</v>
      </c>
      <c r="M150" s="29">
        <f>SUMIF($E$5:$E$142,"310",$M$5:$M$142)</f>
        <v>0</v>
      </c>
      <c r="N150" s="29">
        <f>SUMIF($E$5:$E$142,"310",$N$5:$N$142)</f>
        <v>0</v>
      </c>
      <c r="O150" s="29">
        <f>SUMIF($E$5:$E$142,"310",$O$5:$O$142)</f>
        <v>0</v>
      </c>
      <c r="P150" s="29">
        <f>SUMIF($E$5:$E$142,"310",$P$5:$P$142)</f>
        <v>0</v>
      </c>
      <c r="Q150" s="29">
        <f>SUMIF($E$5:$E$142,"310",$Q$5:$Q$142)</f>
        <v>0</v>
      </c>
      <c r="R150" s="29">
        <f>SUMIF($E$5:$E$142,"310",$R$5:$R$142)</f>
        <v>0</v>
      </c>
      <c r="S150" s="29">
        <f>SUMIF($E$5:$E$142,"310",$S$5:$S$142)</f>
        <v>0</v>
      </c>
      <c r="T150" s="29">
        <f>SUMIF($E$5:$E$142,"310",$T$5:$T$142)</f>
        <v>0</v>
      </c>
      <c r="U150" s="29">
        <f>SUMIF($E$5:$E$142,"310",$U$5:$U$142)</f>
        <v>0</v>
      </c>
      <c r="V150" s="29">
        <f>SUMIF($E$5:$E$142,"310",$V$5:$V$142)</f>
        <v>0</v>
      </c>
      <c r="W150" s="29">
        <f>SUMIF($E$5:$E$142,"310",$W$5:$W$142)</f>
        <v>0</v>
      </c>
      <c r="X150" s="29">
        <f>SUMIF($E$5:$E$142,"310",$X$5:$X$142)</f>
        <v>76000000</v>
      </c>
      <c r="Y150" s="29">
        <f>SUMIF($E$5:$E$142,"310",$Y$5:$Y$142)</f>
        <v>54000000</v>
      </c>
      <c r="Z150" s="29">
        <f>SUMIF($E$5:$E$142,"310",$Z$5:$Z$142)</f>
        <v>0</v>
      </c>
      <c r="AA150" s="29">
        <f>SUMIF($E$5:$E$131,"310",$AA$5:$AA$131)</f>
        <v>0</v>
      </c>
      <c r="AB150" s="29"/>
      <c r="AC150" s="29">
        <f>SUMIF($E$5:$E$142,"310",$AC$5:$AC$142)</f>
        <v>0</v>
      </c>
      <c r="AD150" s="29">
        <f>SUMIF($E$5:$E$142,"310",$AD$5:$AD$142)</f>
        <v>106000000</v>
      </c>
      <c r="AE150" s="28">
        <f t="shared" si="154"/>
        <v>0.63451024256505573</v>
      </c>
      <c r="AF150" s="24">
        <f>SUMIF($E$5:$E$142,"310",$AF$5:$AF$142)</f>
        <v>682733021</v>
      </c>
      <c r="AG150" s="24">
        <f>SUMIF($E$5:$E$142,"310",$AG$5:$AG$142)</f>
        <v>0</v>
      </c>
      <c r="AH150" s="24">
        <f>SUMIF($E$5:$E$142,"310",$AH$5:$AH$142)</f>
        <v>535345383</v>
      </c>
      <c r="AI150" s="24">
        <f>SUMIF($E$5:$E$142,"310",$AI$5:$AI$142)</f>
        <v>0</v>
      </c>
      <c r="AJ150" s="24">
        <f>SUMIF($E$5:$E$142,"310",$AJ$5:$AJ$142)</f>
        <v>0</v>
      </c>
      <c r="AK150" s="24">
        <f>SUMIF($E$5:$E$142,"310",$AK$5:$AK$142)</f>
        <v>0</v>
      </c>
      <c r="AL150" s="24">
        <f>SUMIF($E$5:$E$142,"310",$AL$5:$AL$142)</f>
        <v>0</v>
      </c>
      <c r="AM150" s="24">
        <f>SUMIF($E$5:$E$142,"310",$AM$5:$AM$142)</f>
        <v>0</v>
      </c>
      <c r="AN150" s="24">
        <f>SUMIF($E$5:$E$142,"310",$AN$5:$AN$142)</f>
        <v>0</v>
      </c>
      <c r="AO150" s="24">
        <f>SUMIF($E$5:$E$142,"310",$AO$5:$AO$142)</f>
        <v>0</v>
      </c>
      <c r="AP150" s="24">
        <f>SUMIF($E$5:$E$142,"310",$AP$5:$AP$142)</f>
        <v>0</v>
      </c>
      <c r="AQ150" s="24">
        <f>SUMIF($E$5:$E$142,"310",$AQ$5:$AQ$142)</f>
        <v>0</v>
      </c>
      <c r="AR150" s="24">
        <f>SUMIF($E$5:$E$142,"310",$AR$5:$AR$142)</f>
        <v>0</v>
      </c>
      <c r="AS150" s="24">
        <f>SUMIF($E$5:$E$142,"310",$AS$5:$AS$142)</f>
        <v>0</v>
      </c>
      <c r="AT150" s="24">
        <f>SUMIF($E$5:$E$142,"310",$AT$5:$AT$142)</f>
        <v>0</v>
      </c>
      <c r="AU150" s="24">
        <f>SUMIF($E$5:$E$142,"310",$AU$5:$AU$142)</f>
        <v>0</v>
      </c>
      <c r="AV150" s="24">
        <f>SUMIF($E$5:$E$142,"310",$AV$5:$AV$142)</f>
        <v>0</v>
      </c>
      <c r="AW150" s="24">
        <f>SUMIF($E$5:$E$142,"310",$AW$5:$AW$142)</f>
        <v>69170000</v>
      </c>
      <c r="AX150" s="24">
        <f>SUMIF($E$5:$E$142,"310",$AX$5:$AX$142)</f>
        <v>0</v>
      </c>
      <c r="AY150" s="24">
        <f>SUMIF($E$5:$E$142,"310",$AY$5:$AY$142)</f>
        <v>0</v>
      </c>
      <c r="AZ150" s="24">
        <f>SUMIF($E$5:$E$142,"310",$AZ$5:$AZ$142)</f>
        <v>0</v>
      </c>
      <c r="BA150" s="24">
        <f>SUMIF($E$5:$E$142,"310",$BA$5:$BA$142)</f>
        <v>0</v>
      </c>
      <c r="BB150" s="24">
        <f>SUMIF($E$5:$E$142,"310",$BB$5:$BB$142)</f>
        <v>0</v>
      </c>
      <c r="BC150" s="24">
        <f>SUMIF($E$5:$E$142,"310",$BC$5:$BC$142)</f>
        <v>78217638</v>
      </c>
      <c r="BD150" s="27">
        <f t="shared" si="155"/>
        <v>0.36548975743494427</v>
      </c>
      <c r="BE150" s="21">
        <f t="shared" si="156"/>
        <v>393266979</v>
      </c>
      <c r="BF150" s="20">
        <f>SUMIF($E$5:$E$142,"310",$BF$5:$BF$142)</f>
        <v>0</v>
      </c>
      <c r="BG150" s="20">
        <f>SUMIF($E$5:$E$142,"310",$BG$5:$BG$142)</f>
        <v>4654617</v>
      </c>
      <c r="BH150" s="20">
        <f>SUMIF($E$5:$E$142,"310",$BH$5:$BH$142)</f>
        <v>0</v>
      </c>
      <c r="BI150" s="20">
        <f>SUMIF($E$5:$E$142,"310",$BI$5:$BI$142)</f>
        <v>300000000</v>
      </c>
      <c r="BJ150" s="20">
        <f>SUMIF($E$5:$E$142,"310",$BJ$5:$BJ$142)</f>
        <v>0</v>
      </c>
      <c r="BK150" s="20">
        <f>SUMIF($E$5:$E$142,"310",$BK$5:$BK$142)</f>
        <v>0</v>
      </c>
      <c r="BL150" s="20">
        <f>SUMIF($E$5:$E$142,"310",$BL$5:$BL$142)</f>
        <v>0</v>
      </c>
      <c r="BM150" s="20">
        <f>SUMIF($E$5:$E$142,"310",$BM$5:$BM$142)</f>
        <v>0</v>
      </c>
      <c r="BN150" s="20">
        <f>SUMIF($E$5:$E$142,"310",$BN$5:$BN$142)</f>
        <v>0</v>
      </c>
      <c r="BO150" s="20">
        <f>SUMIF($E$5:$E$142,"310",$BO$5:$BO$142)</f>
        <v>0</v>
      </c>
      <c r="BP150" s="20">
        <f>SUMIF($E$5:$E$142,"310",$BP$5:$BP$142)</f>
        <v>0</v>
      </c>
      <c r="BQ150" s="20">
        <f>SUMIF($E$5:$E$142,"310",$BQ$5:$BQ$142)</f>
        <v>0</v>
      </c>
      <c r="BR150" s="20">
        <f>SUMIF($E$5:$E$142,"310",$BR$5:$BR$142)</f>
        <v>0</v>
      </c>
      <c r="BS150" s="20">
        <f>SUMIF($E$5:$E$142,"310",$BS$5:$BS$142)</f>
        <v>0</v>
      </c>
      <c r="BT150" s="20">
        <f>SUMIF($E$5:$E$142,"310",$BT$5:$BT$142)</f>
        <v>0</v>
      </c>
      <c r="BU150" s="20">
        <f>SUMIF($E$5:$E$142,"310",$BU$5:$BU$142)</f>
        <v>0</v>
      </c>
      <c r="BV150" s="20">
        <f>SUMIF($E$5:$E$142,"310",$BV$5:$BV$142)</f>
        <v>6830000</v>
      </c>
      <c r="BW150" s="20">
        <f>SUMIF($E$5:$E$142,"310",$BW$5:$BW$142)</f>
        <v>54000000</v>
      </c>
      <c r="BX150" s="20">
        <f>SUMIF($E$5:$E$142,"310",$BX$5:$BX$142)</f>
        <v>0</v>
      </c>
      <c r="BY150" s="20">
        <f>SUMIF($E$5:$E$142,"310",$BY$5:$BY$142)</f>
        <v>0</v>
      </c>
      <c r="BZ150" s="20">
        <f>SUMIF($E$5:$E$142,"310",$BZ$5:$BZ$142)</f>
        <v>0</v>
      </c>
      <c r="CA150" s="20">
        <f>SUMIF($E$5:$E$142,"310",$CA$5:$CA$142)</f>
        <v>0</v>
      </c>
      <c r="CB150" s="26">
        <f>SUMIF($E$5:$E$142,"310",$CB$5:$CB$142)</f>
        <v>27782362</v>
      </c>
      <c r="CC150" s="25">
        <f t="shared" si="157"/>
        <v>0.5219300371747212</v>
      </c>
      <c r="CD150" s="35">
        <f t="shared" si="158"/>
        <v>561596720</v>
      </c>
      <c r="CE150" s="24">
        <f>SUMIF($E$5:$E$142,"310",$CE$5:$CE$142)</f>
        <v>0</v>
      </c>
      <c r="CF150" s="24">
        <f>SUMIF($E$5:$E$142,"310",$CF$5:$CF$142)</f>
        <v>467140811</v>
      </c>
      <c r="CG150" s="24">
        <f>SUMIF($E$5:$E$142,"310",$CG$5:$CG$142)</f>
        <v>0</v>
      </c>
      <c r="CH150" s="24">
        <f>SUMIF($E$5:$E$142,"310",$CH$5:$CH$142)</f>
        <v>0</v>
      </c>
      <c r="CI150" s="24">
        <f>SUMIF($E$5:$E$142,"310",$CI$5:$CI$142)</f>
        <v>0</v>
      </c>
      <c r="CJ150" s="24">
        <f>SUMIF($E$5:$E$142,"310",$CJ$5:$CJ$142)</f>
        <v>0</v>
      </c>
      <c r="CK150" s="24">
        <f>SUMIF($E$5:$E$142,"310",$CK$5:$CK$142)</f>
        <v>0</v>
      </c>
      <c r="CL150" s="24">
        <f>SUMIF($E$5:$E$142,"310",$CL$5:$CL$142)</f>
        <v>0</v>
      </c>
      <c r="CM150" s="24">
        <f>SUMIF($E$5:$E$142,"310",$CM$5:$CM$142)</f>
        <v>0</v>
      </c>
      <c r="CN150" s="24">
        <f>SUMIF($E$5:$E$142,"310",$CN$5:$CN$142)</f>
        <v>0</v>
      </c>
      <c r="CO150" s="24">
        <f>SUMIF($E$5:$E$142,"310",$CO$5:$CO$142)</f>
        <v>0</v>
      </c>
      <c r="CP150" s="24">
        <f>SUMIF($E$5:$E$142,"310",$CP$5:$CP$142)</f>
        <v>0</v>
      </c>
      <c r="CQ150" s="24">
        <f>SUMIF($E$5:$E$142,"310",$CQ$5:$CQ$142)</f>
        <v>0</v>
      </c>
      <c r="CR150" s="24">
        <f>SUMIF($E$5:$E$142,"310",$CR$5:$CR$142)</f>
        <v>0</v>
      </c>
      <c r="CS150" s="24">
        <f>SUMIF($E$5:$E$142,"310",$CS$5:$CS$142)</f>
        <v>0</v>
      </c>
      <c r="CT150" s="24">
        <f>SUMIF($E$5:$E$142,"310",$CT$5:$CT$142)</f>
        <v>0</v>
      </c>
      <c r="CU150" s="24">
        <f>SUMIF($E$5:$E$142,"310",$CU$5:$CU$142)</f>
        <v>52317749</v>
      </c>
      <c r="CV150" s="24">
        <f>SUMIF($E$5:$E$142,"310",$CV$5:$CV$142)</f>
        <v>0</v>
      </c>
      <c r="CW150" s="24">
        <f>SUMIF($E$5:$E$142,"310",$CW$5:$CW$142)</f>
        <v>0</v>
      </c>
      <c r="CX150" s="24">
        <f>SUMIF($E$5:$E$142,"310",$CX$5:$CX$142)</f>
        <v>0</v>
      </c>
      <c r="CY150" s="24">
        <f>SUMIF($E$5:$E$142,"310",$CY$5:$CY$142)</f>
        <v>0</v>
      </c>
      <c r="CZ150" s="24">
        <f>SUMIF($E$5:$E$142,"310",$CZ$5:$CZ$142)</f>
        <v>0</v>
      </c>
      <c r="DA150" s="23">
        <f>SUMIF($E$5:$E$142,"310",$DA$5:$DA$142)</f>
        <v>42138160</v>
      </c>
      <c r="DB150" s="22">
        <f t="shared" si="159"/>
        <v>0.4780699628252788</v>
      </c>
      <c r="DC150" s="21">
        <f t="shared" si="160"/>
        <v>514403280</v>
      </c>
      <c r="DD150" s="20">
        <f>SUMIF($E$5:$E$142,"310",$DD$5:$DD$142)</f>
        <v>0</v>
      </c>
      <c r="DE150" s="20">
        <f>SUMIF($E$5:$E$142,"310",$DE$5:$DE$142)</f>
        <v>72859189</v>
      </c>
      <c r="DF150" s="20">
        <f>SUMIF($E$5:$E$142,"310",$DF$5:$DF$142)</f>
        <v>0</v>
      </c>
      <c r="DG150" s="20">
        <f>SUMIF($E$5:$E$142,"310",$DG$5:$DG$142)</f>
        <v>300000000</v>
      </c>
      <c r="DH150" s="20">
        <f>SUMIF($E$5:$E$142,"310",$DH$5:$DH$142)</f>
        <v>0</v>
      </c>
      <c r="DI150" s="20">
        <f>SUMIF($E$5:$E$142,"310",$DI$5:$DI$142)</f>
        <v>0</v>
      </c>
      <c r="DJ150" s="20">
        <f>SUMIF($E$5:$E$142,"310",$DJ$5:$DJ$142)</f>
        <v>0</v>
      </c>
      <c r="DK150" s="20">
        <f>SUMIF($E$5:$E$142,"310",$DK$5:$DK$142)</f>
        <v>0</v>
      </c>
      <c r="DL150" s="20">
        <f>SUMIF($E$5:$E$142,"310",$DL$5:$DL$142)</f>
        <v>0</v>
      </c>
      <c r="DM150" s="20">
        <f>SUMIF($E$5:$E$142,"310",$DM$5:$DM$142)</f>
        <v>0</v>
      </c>
      <c r="DN150" s="19">
        <f>SUMIF($E$5:$E$142,"310",$DN$5:$DN$142)</f>
        <v>0</v>
      </c>
      <c r="DO150" s="19">
        <f>SUMIF($E$5:$E$142,"310",$DO$5:$DO$142)</f>
        <v>0</v>
      </c>
      <c r="DP150" s="19">
        <f>SUMIF($E$5:$E$142,"310",$DP$5:$DP$142)</f>
        <v>0</v>
      </c>
      <c r="DQ150" s="19">
        <f>SUMIF($E$5:$E$142,"310",$DQ$5:$DQ$142)</f>
        <v>0</v>
      </c>
      <c r="DR150" s="19">
        <f>SUMIF($E$5:$E$142,"310",$DR$5:$DR$142)</f>
        <v>0</v>
      </c>
      <c r="DS150" s="19">
        <f>SUMIF($E$5:$E$142,"310",$DS$5:$DS$142)</f>
        <v>0</v>
      </c>
      <c r="DT150" s="19">
        <f>SUMIF($E$5:$E$142,"310",$DT$5:$DT$142)</f>
        <v>23682251</v>
      </c>
      <c r="DU150" s="19">
        <f>SUMIF($E$5:$E$142,"310",$DU$5:$DU$142)</f>
        <v>54000000</v>
      </c>
      <c r="DV150" s="19">
        <f>SUMIF($E$5:$E$142,"310",$DV$5:$DV$142)</f>
        <v>0</v>
      </c>
      <c r="DW150" s="19">
        <f>SUMIF($E$5:$E$142,"310",$DW$5:$DW$142)</f>
        <v>0</v>
      </c>
      <c r="DX150" s="19">
        <f>SUMIF($E$5:$E$142,"310",$DX$5:$DX$142)</f>
        <v>0</v>
      </c>
      <c r="DY150" s="19">
        <f>SUMIF($E$5:$E$142,"310",$DY$5:$DY$142)</f>
        <v>0</v>
      </c>
      <c r="DZ150" s="19">
        <f>SUMIF($E$5:$E$142,"310",$DZ$5:$DZ$142)</f>
        <v>63861840</v>
      </c>
      <c r="EB150" s="165" t="s">
        <v>16</v>
      </c>
      <c r="EC150" s="175">
        <v>3687641610</v>
      </c>
      <c r="ED150" s="175">
        <v>2879361152</v>
      </c>
      <c r="EE150" s="176">
        <f t="shared" si="161"/>
        <v>0.78081371687309931</v>
      </c>
    </row>
    <row r="151" spans="3:135" x14ac:dyDescent="0.3">
      <c r="C151" s="33"/>
      <c r="D151" s="32" t="s">
        <v>14</v>
      </c>
      <c r="E151" s="31">
        <v>410</v>
      </c>
      <c r="F151" s="29"/>
      <c r="G151" s="24">
        <f>SUMIF($E$5:$E$142,"410",$G$5:$G$142)</f>
        <v>9091266497</v>
      </c>
      <c r="H151" s="30">
        <f>SUMIF($E$5:$E$142,"410",$H$5:$H$142)</f>
        <v>0</v>
      </c>
      <c r="I151" s="30">
        <f>SUMIF($E$5:$E$143,"410",$I$5:$I$143)</f>
        <v>0</v>
      </c>
      <c r="J151" s="30">
        <f>SUMIF($E$5:$E$143,"410",$J$5:$J$143)</f>
        <v>0</v>
      </c>
      <c r="K151" s="30">
        <f>SUMIF($E$5:$E$143,"410",$K$5:$K$143)</f>
        <v>0</v>
      </c>
      <c r="L151" s="24">
        <f>SUMIF($E$5:$E$142,"410",$L$5:$L$142)</f>
        <v>0</v>
      </c>
      <c r="M151" s="29">
        <f>SUMIF($E$5:$E$142,"410",$M$5:$M$142)</f>
        <v>0</v>
      </c>
      <c r="N151" s="29">
        <f>SUMIF($E$5:$E$142,"410",$N$5:$N$142)</f>
        <v>0</v>
      </c>
      <c r="O151" s="29">
        <f>SUMIF($E$5:$E$142,"410",$O$5:$O$142)</f>
        <v>2419061682</v>
      </c>
      <c r="P151" s="29">
        <f>SUMIF($E$5:$E$142,"410",$P$5:$P$142)</f>
        <v>45960534</v>
      </c>
      <c r="Q151" s="29">
        <f>SUMIF($E$5:$E$142,"410",$Q$5:$Q$142)</f>
        <v>45960534</v>
      </c>
      <c r="R151" s="29">
        <f>SUMIF($E$5:$E$142,"410",$R$5:$R$142)</f>
        <v>85960534</v>
      </c>
      <c r="S151" s="29">
        <f>SUMIF($E$5:$E$142,"410",$S$5:$S$142)</f>
        <v>797458202</v>
      </c>
      <c r="T151" s="29">
        <f>SUMIF($E$5:$E$142,"410",$T$5:$T$142)</f>
        <v>30000000</v>
      </c>
      <c r="U151" s="29">
        <f>SUMIF($E$5:$E$142,"410",$U$5:$U$142)</f>
        <v>60000000</v>
      </c>
      <c r="V151" s="29">
        <f>SUMIF($E$5:$E$142,"410",$V$5:$V$142)</f>
        <v>20000000</v>
      </c>
      <c r="W151" s="29">
        <f>SUMIF($E$5:$E$142,"410",$W$5:$W$142)</f>
        <v>3457651561</v>
      </c>
      <c r="X151" s="29">
        <f>SUMIF($E$5:$E$142,"410",$X$5:$X$142)</f>
        <v>90000000</v>
      </c>
      <c r="Y151" s="29">
        <f>SUMIF($E$5:$E$142,"410",$Y$5:$Y$142)</f>
        <v>52565530</v>
      </c>
      <c r="Z151" s="29">
        <f>SUMIF($E$5:$E$131,"410",$Z$5:$Z$131)</f>
        <v>1116053744</v>
      </c>
      <c r="AA151" s="29">
        <f>SUMIF($E$5:$E$131,"410",$AA$5:$AA$131)</f>
        <v>0</v>
      </c>
      <c r="AB151" s="29">
        <f>SUMIF($E$5:$E$142,"410",$AB$5:$AB$142)</f>
        <v>453752865</v>
      </c>
      <c r="AC151" s="29">
        <f>SUMIF($E$5:$E$142,"410",$AC$5:$AC$142)</f>
        <v>0</v>
      </c>
      <c r="AD151" s="29">
        <f>SUMIF($E$5:$E$142,"410",$AD$5:$AD$142)</f>
        <v>416841311</v>
      </c>
      <c r="AE151" s="28">
        <f t="shared" si="154"/>
        <v>0.61692958300703082</v>
      </c>
      <c r="AF151" s="24">
        <f>SUMIF($E$5:$E$142,"410",$AF$5:$AF$142)</f>
        <v>5608671249</v>
      </c>
      <c r="AG151" s="24">
        <f>SUMIF($E$5:$E$142,"410",$AG$5:$AG$142)</f>
        <v>0</v>
      </c>
      <c r="AH151" s="24">
        <f>SUMIF($E$5:$E$142,"410",$AH$5:$AH$142)</f>
        <v>0</v>
      </c>
      <c r="AI151" s="24">
        <f>SUMIF($E$5:$E$142,"410",$AI$5:$AI$142)</f>
        <v>0</v>
      </c>
      <c r="AJ151" s="24">
        <f>SUMIF($E$5:$E$142,"410",$AJ$5:$AJ$142)</f>
        <v>0</v>
      </c>
      <c r="AK151" s="24">
        <f>SUMIF($E$5:$E$142,"410",$AK$5:$AK$142)</f>
        <v>0</v>
      </c>
      <c r="AL151" s="24">
        <f>SUMIF($E$5:$E$142,"410",$AL$5:$AL$142)</f>
        <v>0</v>
      </c>
      <c r="AM151" s="24">
        <f>SUMIF($E$5:$E$142,"410",$AM$5:$AM$142)</f>
        <v>0</v>
      </c>
      <c r="AN151" s="24">
        <f>SUMIF($E$5:$E$142,"410",$AN$5:$AN$142)</f>
        <v>1802685139</v>
      </c>
      <c r="AO151" s="24">
        <f>SUMIF($E$5:$E$142,"410",$AO$5:$AO$142)</f>
        <v>0</v>
      </c>
      <c r="AP151" s="24">
        <f>SUMIF($E$5:$E$142,"410",$AP$5:$AP$142)</f>
        <v>4442302</v>
      </c>
      <c r="AQ151" s="24">
        <f>SUMIF($E$5:$E$142,"410",$AQ$5:$AQ$142)</f>
        <v>5005939</v>
      </c>
      <c r="AR151" s="24">
        <f>SUMIF($E$5:$E$142,"410",$AR$5:$AR$142)</f>
        <v>688781491</v>
      </c>
      <c r="AS151" s="24">
        <f>SUMIF($E$5:$E$142,"410",$AS$5:$AS$142)</f>
        <v>1614681</v>
      </c>
      <c r="AT151" s="24">
        <f>SUMIF($E$5:$E$142,"410",$AT$5:$AT$142)</f>
        <v>9977239</v>
      </c>
      <c r="AU151" s="24">
        <f>SUMIF($E$5:$E$142,"410",$AU$5:$AU$142)</f>
        <v>2592938</v>
      </c>
      <c r="AV151" s="24">
        <f>SUMIF($E$5:$E$142,"410",$AV$5:$AV$142)</f>
        <v>1778728458</v>
      </c>
      <c r="AW151" s="24">
        <f>SUMIF($E$5:$E$142,"410",$AW$5:$AW$142)</f>
        <v>90000000</v>
      </c>
      <c r="AX151" s="24">
        <f>SUMIF($E$5:$E$142,"410",$AX$5:$AX$142)</f>
        <v>0</v>
      </c>
      <c r="AY151" s="24">
        <f>SUMIF($E$5:$E$142,"410",$AY$5:$AY$142)</f>
        <v>722811855</v>
      </c>
      <c r="AZ151" s="24">
        <f>SUMIF($E$5:$E$142,"410",$AZ$5:$AZ$142)</f>
        <v>0</v>
      </c>
      <c r="BA151" s="24">
        <f>SUMIF($E$5:$E$142,"410",$BA$5:$BA$142)</f>
        <v>254320879</v>
      </c>
      <c r="BB151" s="24">
        <f>SUMIF($E$5:$E$142,"410",$BB$5:$BB$142)</f>
        <v>0</v>
      </c>
      <c r="BC151" s="24">
        <f>SUMIF($E$5:$E$142,"410",$BC$5:$BC$142)</f>
        <v>247710328</v>
      </c>
      <c r="BD151" s="27">
        <f t="shared" si="155"/>
        <v>0.38307041699296918</v>
      </c>
      <c r="BE151" s="21">
        <f t="shared" si="156"/>
        <v>3482595248</v>
      </c>
      <c r="BF151" s="20">
        <f>SUMIF($E$5:$E$142,"410",$BF$5:$BF$142)</f>
        <v>0</v>
      </c>
      <c r="BG151" s="20">
        <f>SUMIF($E$5:$E$142,"410",$BG$5:$BG$142)</f>
        <v>0</v>
      </c>
      <c r="BH151" s="20">
        <f>SUMIF($E$5:$E$142,"410",$BH$5:$BH$142)</f>
        <v>0</v>
      </c>
      <c r="BI151" s="20">
        <f>SUMIF($E$5:$E$142,"410",$BI$5:$BI$142)</f>
        <v>0</v>
      </c>
      <c r="BJ151" s="20">
        <f>SUMIF($E$5:$E$142,"410",$BJ$5:$BJ$142)</f>
        <v>0</v>
      </c>
      <c r="BK151" s="20">
        <f>SUMIF($E$5:$E$142,"410",$BK$5:$BK$142)</f>
        <v>0</v>
      </c>
      <c r="BL151" s="20">
        <f>SUMIF($E$5:$E$142,"410",$BL$5:$BL$142)</f>
        <v>0</v>
      </c>
      <c r="BM151" s="20">
        <f>SUMIF($E$5:$E$142,"410",$BM$5:$BM$142)</f>
        <v>616376543</v>
      </c>
      <c r="BN151" s="20">
        <f>SUMIF($E$5:$E$142,"410",$BN$5:$BN$142)</f>
        <v>45960534</v>
      </c>
      <c r="BO151" s="20">
        <f>SUMIF($E$5:$E$142,"410",$BO$5:$BO$142)</f>
        <v>41518232</v>
      </c>
      <c r="BP151" s="20">
        <f>SUMIF($E$5:$E$142,"410",$BP$5:$BP$142)</f>
        <v>80954595</v>
      </c>
      <c r="BQ151" s="20">
        <f>SUMIF($E$5:$E$142,"410",$BQ$5:$BQ$142)</f>
        <v>108676711</v>
      </c>
      <c r="BR151" s="20">
        <f>SUMIF($E$5:$E$142,"410",$BR$5:$BR$142)</f>
        <v>28385319</v>
      </c>
      <c r="BS151" s="20">
        <f>SUMIF($E$5:$E$142,"410",$BS$5:$BS$142)</f>
        <v>50022761</v>
      </c>
      <c r="BT151" s="20">
        <f>SUMIF($E$5:$E$142,"410",$BT$5:$BT$142)</f>
        <v>17407062</v>
      </c>
      <c r="BU151" s="20">
        <f>SUMIF($E$5:$E$142,"410",$BU$5:$BU$142)</f>
        <v>1678923103</v>
      </c>
      <c r="BV151" s="20">
        <f>SUMIF($E$5:$E$142,"410",$BV$5:$BV$142)</f>
        <v>0</v>
      </c>
      <c r="BW151" s="20">
        <f>SUMIF($E$5:$E$142,"410",$BW$5:$BW$142)</f>
        <v>52565530</v>
      </c>
      <c r="BX151" s="20">
        <f>SUMIF($E$5:$E$142,"410",$BX$5:$BX$142)</f>
        <v>393241889</v>
      </c>
      <c r="BY151" s="20">
        <f>SUMIF($E$5:$E$142,"410",$BY$5:$BY$142)</f>
        <v>0</v>
      </c>
      <c r="BZ151" s="20">
        <f>SUMIF($E$5:$E$142,"410",$BZ$5:$BZ$142)</f>
        <v>199431986</v>
      </c>
      <c r="CA151" s="20">
        <f>SUMIF($E$5:$E$142,"410",$CA$5:$CA$142)</f>
        <v>0</v>
      </c>
      <c r="CB151" s="26">
        <f>SUMIF($E$5:$E$142,"410",$CB$5:$CB$142)</f>
        <v>169130983</v>
      </c>
      <c r="CC151" s="25">
        <f t="shared" si="157"/>
        <v>0.42409803367575838</v>
      </c>
      <c r="CD151" s="21">
        <f t="shared" si="158"/>
        <v>3855588245</v>
      </c>
      <c r="CE151" s="24">
        <f>SUMIF($E$5:$E$142,"410",$CE$5:$CE$142)</f>
        <v>0</v>
      </c>
      <c r="CF151" s="24">
        <f>SUMIF($E$5:$E$142,"410",$CF$5:$CF$142)</f>
        <v>0</v>
      </c>
      <c r="CG151" s="24">
        <f>SUMIF($E$5:$E$142,"410",$CG$5:$CG$142)</f>
        <v>0</v>
      </c>
      <c r="CH151" s="24">
        <f>SUMIF($E$5:$E$142,"410",$CH$5:$CH$142)</f>
        <v>0</v>
      </c>
      <c r="CI151" s="24">
        <f>SUMIF($E$5:$E$142,"410",$CI$5:$CI$142)</f>
        <v>0</v>
      </c>
      <c r="CJ151" s="24">
        <f>SUMIF($E$5:$E$142,"410",$CJ$5:$CJ$142)</f>
        <v>0</v>
      </c>
      <c r="CK151" s="24">
        <f>SUMIF($E$5:$E$142,"410",$CK$5:$CK$142)</f>
        <v>0</v>
      </c>
      <c r="CL151" s="24">
        <f>SUMIF($E$5:$E$142,"410",$CL$5:$CL$142)</f>
        <v>1341255576</v>
      </c>
      <c r="CM151" s="24">
        <f>SUMIF($E$5:$E$142,"410",$CM$5:$CM$142)</f>
        <v>0</v>
      </c>
      <c r="CN151" s="24">
        <f>SUMIF($E$5:$E$142,"410",$CN$5:$CN$142)</f>
        <v>4442302</v>
      </c>
      <c r="CO151" s="24">
        <f>SUMIF($E$5:$E$142,"410",$CO$5:$CO$142)</f>
        <v>4865259</v>
      </c>
      <c r="CP151" s="24">
        <f>SUMIF($E$5:$E$142,"410",$CP$5:$CP$142)</f>
        <v>508099968</v>
      </c>
      <c r="CQ151" s="24">
        <f>SUMIF($E$5:$E$142,"410",$CQ$5:$CQ$142)</f>
        <v>1614681</v>
      </c>
      <c r="CR151" s="24">
        <f>SUMIF($E$5:$E$142,"410",$CR$5:$CR$142)</f>
        <v>9752686</v>
      </c>
      <c r="CS151" s="24">
        <f>SUMIF($E$5:$E$142,"410",$CS$5:$CS$142)</f>
        <v>2592938</v>
      </c>
      <c r="CT151" s="24">
        <f>SUMIF($E$5:$E$142,"410",$CT$5:$CT$142)</f>
        <v>991295154</v>
      </c>
      <c r="CU151" s="24">
        <f>SUMIF($E$5:$E$142,"410",$CU$5:$CU$142)</f>
        <v>75578503</v>
      </c>
      <c r="CV151" s="24">
        <f>SUMIF($E$5:$E$142,"410",$CV$5:$CV$142)</f>
        <v>0</v>
      </c>
      <c r="CW151" s="24">
        <f>SUMIF($E$5:$E$142,"410",$CW$5:$CW$142)</f>
        <v>518088840</v>
      </c>
      <c r="CX151" s="24">
        <f>SUMIF($E$5:$E$142,"410",$CX$5:$CX$142)</f>
        <v>0</v>
      </c>
      <c r="CY151" s="24">
        <f>SUMIF($E$5:$E$142,"410",$CY$5:$CY$142)</f>
        <v>208651389</v>
      </c>
      <c r="CZ151" s="24">
        <f>SUMIF($E$5:$E$142,"410",$CZ$5:$CZ$142)</f>
        <v>0</v>
      </c>
      <c r="DA151" s="23">
        <f>SUMIF($E$5:$E$142,"410",$DA$5:$DA$142)</f>
        <v>189350949</v>
      </c>
      <c r="DB151" s="22">
        <f t="shared" si="159"/>
        <v>0.57590196632424162</v>
      </c>
      <c r="DC151" s="21">
        <f t="shared" si="160"/>
        <v>5235678252</v>
      </c>
      <c r="DD151" s="20">
        <f>SUMIF($E$5:$E$142,"410",$DD$5:$DD$142)</f>
        <v>0</v>
      </c>
      <c r="DE151" s="20">
        <f>SUMIF($E$5:$E$142,"410",$DE$5:$DE$142)</f>
        <v>0</v>
      </c>
      <c r="DF151" s="20">
        <f>SUMIF($E$5:$E$142,"410",$DF$5:$DF$142)</f>
        <v>0</v>
      </c>
      <c r="DG151" s="20">
        <f>SUMIF($E$5:$E$142,"410",$DG$5:$DG$142)</f>
        <v>0</v>
      </c>
      <c r="DH151" s="20">
        <f>SUMIF($E$5:$E$142,"410",$DH$5:$DH$142)</f>
        <v>0</v>
      </c>
      <c r="DI151" s="20">
        <f>SUMIF($E$5:$E$142,"410",$DI$5:$DI$142)</f>
        <v>0</v>
      </c>
      <c r="DJ151" s="20">
        <f>SUMIF($E$5:$E$142,"410",$DJ$5:$DJ$142)</f>
        <v>0</v>
      </c>
      <c r="DK151" s="20">
        <f>SUMIF($E$5:$E$142,"410",$DK$5:$DK$142)</f>
        <v>1077806106</v>
      </c>
      <c r="DL151" s="20">
        <f>SUMIF($E$5:$E$142,"410",$DL$5:$DL$142)</f>
        <v>45960534</v>
      </c>
      <c r="DM151" s="20">
        <f>SUMIF($E$5:$E$142,"410",$DM$5:$DM$142)</f>
        <v>41518232</v>
      </c>
      <c r="DN151" s="19">
        <f>SUMIF($E$5:$E$142,"410",$DN$5:$DN$142)</f>
        <v>81095275</v>
      </c>
      <c r="DO151" s="19">
        <f>SUMIF($E$5:$E$142,"410",$DO$5:$DO$142)</f>
        <v>289358234</v>
      </c>
      <c r="DP151" s="19">
        <f>SUMIF($E$5:$E$142,"410",$DP$5:$DP$142)</f>
        <v>28385319</v>
      </c>
      <c r="DQ151" s="19">
        <f>SUMIF($E$5:$E$142,"410",$DQ$5:$DQ$142)</f>
        <v>50247314</v>
      </c>
      <c r="DR151" s="19">
        <f>SUMIF($E$5:$E$142,"410",$DR$5:$DR$142)</f>
        <v>17407062</v>
      </c>
      <c r="DS151" s="19">
        <f>SUMIF($E$5:$E$142,"410",$DS$5:$DS$142)</f>
        <v>2466356407</v>
      </c>
      <c r="DT151" s="19">
        <f>SUMIF($E$5:$E$142,"410",$DT$5:$DT$142)</f>
        <v>14421497</v>
      </c>
      <c r="DU151" s="19">
        <f>SUMIF($E$5:$E$142,"410",$DU$5:$DU$142)</f>
        <v>52565530</v>
      </c>
      <c r="DV151" s="19">
        <f>SUMIF($E$5:$E$142,"410",$DV$5:$DV$142)</f>
        <v>597964904</v>
      </c>
      <c r="DW151" s="19">
        <f>SUMIF($E$5:$E$142,"410",$DW$5:$DW$142)</f>
        <v>0</v>
      </c>
      <c r="DX151" s="19">
        <f>SUMIF($E$5:$E$142,"410",$DX$5:$DX$142)</f>
        <v>245101476</v>
      </c>
      <c r="DY151" s="19">
        <f>SUMIF($E$5:$E$142,"410",$DY$5:$DY$142)</f>
        <v>0</v>
      </c>
      <c r="DZ151" s="19">
        <f>SUMIF($E$5:$E$142,"410",$DZ$5:$DZ$142)</f>
        <v>227490362</v>
      </c>
      <c r="EB151" s="165" t="s">
        <v>432</v>
      </c>
      <c r="EC151" s="175">
        <v>1076000000</v>
      </c>
      <c r="ED151" s="175">
        <v>561596720</v>
      </c>
      <c r="EE151" s="176">
        <f t="shared" si="161"/>
        <v>0.5219300371747212</v>
      </c>
    </row>
    <row r="152" spans="3:135" ht="14.25" customHeight="1" x14ac:dyDescent="0.3">
      <c r="C152" s="33"/>
      <c r="D152" s="34" t="s">
        <v>13</v>
      </c>
      <c r="E152" s="31">
        <v>510</v>
      </c>
      <c r="F152" s="29"/>
      <c r="G152" s="24">
        <f>SUMIF($E$5:$E$142,"510",$G$5:$G$142)</f>
        <v>2989288038</v>
      </c>
      <c r="H152" s="30">
        <f>SUMIF($E$5:$E$142,"510",$H$5:$H$142)</f>
        <v>23655791</v>
      </c>
      <c r="I152" s="30">
        <f>SUMIF($E$5:$E$143,"510",$I$5:$I$143)</f>
        <v>1151070473</v>
      </c>
      <c r="J152" s="30">
        <f>SUMIF($E$5:$E$143,"510",$J$5:$J$143)</f>
        <v>80644090</v>
      </c>
      <c r="K152" s="30">
        <f>SUMIF($E$5:$E$143,"510",$K$5:$K$143)</f>
        <v>0</v>
      </c>
      <c r="L152" s="24">
        <f>SUMIF($E$5:$E$142,"510",$L$5:$L$142)</f>
        <v>0</v>
      </c>
      <c r="M152" s="29">
        <f>SUMIF($E$5:$E$142,"510",$M$5:$M$142)</f>
        <v>0</v>
      </c>
      <c r="N152" s="29">
        <f>SUMIF($E$5:$E$142,"510",$N$5:$N$142)</f>
        <v>0</v>
      </c>
      <c r="O152" s="29">
        <f>SUMIF($E$5:$E$142,"510",$O$5:$O$142)</f>
        <v>0</v>
      </c>
      <c r="P152" s="29">
        <f>SUMIF($E$5:$E$142,"510",$P$5:$P$142)</f>
        <v>15000000</v>
      </c>
      <c r="Q152" s="29">
        <f>SUMIF($E$5:$E$142,"510",$Q$5:$Q$142)</f>
        <v>15000000</v>
      </c>
      <c r="R152" s="29">
        <f>SUMIF($E$5:$E$142,"510",$R$5:$R$142)</f>
        <v>15000000</v>
      </c>
      <c r="S152" s="29">
        <f>SUMIF($E$5:$E$142,"510",$S$5:$S$142)</f>
        <v>0</v>
      </c>
      <c r="T152" s="29">
        <f>SUMIF($E$5:$E$142,"510",$T$5:$T$142)</f>
        <v>0</v>
      </c>
      <c r="U152" s="29">
        <f>SUMIF($E$5:$E$142,"510",$U$5:$U$142)</f>
        <v>0</v>
      </c>
      <c r="V152" s="29">
        <f>SUMIF($E$5:$E$142,"510",$V$5:$V$142)</f>
        <v>0</v>
      </c>
      <c r="W152" s="29">
        <f>SUMIF($E$5:$E$142,"510",$W$5:$W$142)</f>
        <v>0</v>
      </c>
      <c r="X152" s="29">
        <f>SUMIF($E$5:$E$142,"510",$X$5:$X$142)</f>
        <v>236000000</v>
      </c>
      <c r="Y152" s="29">
        <f>SUMIF($E$5:$E$142,"510",$Y$5:$Y$142)</f>
        <v>162000000</v>
      </c>
      <c r="Z152" s="29">
        <f>SUMIF($E$5:$E$142,"510",$Z$5:$Z$142)</f>
        <v>0</v>
      </c>
      <c r="AA152" s="29">
        <f>SUMIF($E$5:$E$142,"510",$AA$5:$AA$142)</f>
        <v>0</v>
      </c>
      <c r="AB152" s="29"/>
      <c r="AC152" s="29">
        <f>SUMIF($E$5:$E$142,"510",$AC$5:$AC$142)</f>
        <v>972811018</v>
      </c>
      <c r="AD152" s="29">
        <f>SUMIF($E$5:$E$142,"510",$AD$5:$AD$142)</f>
        <v>318106666</v>
      </c>
      <c r="AE152" s="28">
        <f t="shared" si="154"/>
        <v>0.77405162553291562</v>
      </c>
      <c r="AF152" s="24">
        <f>SUMIF($E$5:$E$142,"510",$AF$5:$AF$142)</f>
        <v>2313863265</v>
      </c>
      <c r="AG152" s="24">
        <f>SUMIF($E$5:$E$142,"510",$AG$5:$AG$142)</f>
        <v>0</v>
      </c>
      <c r="AH152" s="24">
        <f>SUMIF($E$5:$E$142,"510",$AH$5:$AH$142)</f>
        <v>1091203573</v>
      </c>
      <c r="AI152" s="24">
        <f>SUMIF($E$5:$E$142,"510",$AI$5:$AI$142)</f>
        <v>71205370</v>
      </c>
      <c r="AJ152" s="24">
        <f>SUMIF($E$5:$E$142,"510",$AJ$5:$AJ$142)</f>
        <v>0</v>
      </c>
      <c r="AK152" s="24">
        <f>SUMIF($E$5:$E$142,"510",$AK$5:$AK$142)</f>
        <v>0</v>
      </c>
      <c r="AL152" s="24">
        <f>SUMIF($E$5:$E$142,"510",$AL$5:$AL$142)</f>
        <v>0</v>
      </c>
      <c r="AM152" s="24">
        <f>SUMIF($E$5:$E$142,"510",$AM$5:$AM$142)</f>
        <v>0</v>
      </c>
      <c r="AN152" s="24">
        <f>SUMIF($E$5:$E$142,"510",$AN$5:$AN$142)</f>
        <v>0</v>
      </c>
      <c r="AO152" s="24">
        <f>SUMIF($E$5:$E$142,"510",$AO$5:$AO$142)</f>
        <v>0</v>
      </c>
      <c r="AP152" s="24">
        <f>SUMIF($E$5:$E$142,"510",$AP$5:$AP$142)</f>
        <v>14999964</v>
      </c>
      <c r="AQ152" s="24">
        <f>SUMIF($E$5:$E$142,"510",$AQ$5:$AQ$142)</f>
        <v>0</v>
      </c>
      <c r="AR152" s="24">
        <f>SUMIF($E$5:$E$142,"510",$AR$5:$AR$142)</f>
        <v>0</v>
      </c>
      <c r="AS152" s="24">
        <f>SUMIF($E$5:$E$142,"510",$AS$5:$AS$142)</f>
        <v>0</v>
      </c>
      <c r="AT152" s="24">
        <f>SUMIF($E$5:$E$142,"510",$AT$5:$AT$142)</f>
        <v>0</v>
      </c>
      <c r="AU152" s="24">
        <f>SUMIF($E$5:$E$142,"510",$AU$5:$AU$142)</f>
        <v>0</v>
      </c>
      <c r="AV152" s="24">
        <f>SUMIF($E$5:$E$142,"510",$AV$5:$AV$142)</f>
        <v>0</v>
      </c>
      <c r="AW152" s="24">
        <f>SUMIF($E$5:$E$142,"510",$AW$5:$AW$142)</f>
        <v>186074655</v>
      </c>
      <c r="AX152" s="24">
        <f>SUMIF($E$5:$E$142,"510",$AX$5:$AX$142)</f>
        <v>149298526</v>
      </c>
      <c r="AY152" s="24">
        <f>SUMIF($E$5:$E$142,"510",$AY$5:$AY$142)</f>
        <v>0</v>
      </c>
      <c r="AZ152" s="24">
        <f>SUMIF($E$5:$E$142,"510",$AZ$5:$AZ$142)</f>
        <v>0</v>
      </c>
      <c r="BA152" s="24">
        <f>SUMIF($E$5:$E$142," 510",$BA$5:$BA$142)</f>
        <v>0</v>
      </c>
      <c r="BB152" s="24">
        <f>SUMIF($E$5:$E$142,"510",$BB$5:$BB$142)</f>
        <v>564330000</v>
      </c>
      <c r="BC152" s="24">
        <f>SUMIF($E$5:$E$142,"510",$BC$5:$BC$142)</f>
        <v>236751177</v>
      </c>
      <c r="BD152" s="27">
        <f t="shared" si="155"/>
        <v>0.22594837446708438</v>
      </c>
      <c r="BE152" s="21">
        <f t="shared" si="156"/>
        <v>675424773</v>
      </c>
      <c r="BF152" s="20">
        <f>SUMIF($E$5:$E$142,"510",$BF$5:$BF$142)</f>
        <v>23655791</v>
      </c>
      <c r="BG152" s="20">
        <f>SUMIF($E$5:$E$142,"510",$BG$5:$BG$142)</f>
        <v>59866900</v>
      </c>
      <c r="BH152" s="20">
        <f>SUMIF($E$5:$E$142,"510",$BH$5:$BH$142)</f>
        <v>9438720</v>
      </c>
      <c r="BI152" s="20">
        <f>SUMIF($E$5:$E$142,"510",$BI$5:$BI$142)</f>
        <v>0</v>
      </c>
      <c r="BJ152" s="20">
        <f>SUMIF($E$5:$E$142,"510",$BJ$5:$BJ$142)</f>
        <v>0</v>
      </c>
      <c r="BK152" s="20">
        <f>SUMIF($E$5:$E$142,"510",$BK$5:$BK$142)</f>
        <v>0</v>
      </c>
      <c r="BL152" s="20">
        <f>SUMIF($E$5:$E$142,"510",$BL$5:$BL$142)</f>
        <v>0</v>
      </c>
      <c r="BM152" s="20">
        <f>SUMIF($E$5:$E$142,"510",$BM$5:$BM$142)</f>
        <v>0</v>
      </c>
      <c r="BN152" s="20">
        <f>SUMIF($E$5:$E$142,"510",$BN$5:$BN$142)</f>
        <v>15000000</v>
      </c>
      <c r="BO152" s="20">
        <f>SUMIF($E$5:$E$142,"510",$BO$5:$BO$142)</f>
        <v>36</v>
      </c>
      <c r="BP152" s="20">
        <f>SUMIF($E$5:$E$142,"510",$BP$5:$BP$142)</f>
        <v>15000000</v>
      </c>
      <c r="BQ152" s="20">
        <f>SUMIF($E$5:$E$142,"510",$BQ$5:$BQ$142)</f>
        <v>0</v>
      </c>
      <c r="BR152" s="20">
        <f>SUMIF($E$5:$E$142,"510",$BR$5:$BR$142)</f>
        <v>0</v>
      </c>
      <c r="BS152" s="20">
        <f>SUMIF($E$5:$E$142,"510",$BS$5:$BS$142)</f>
        <v>0</v>
      </c>
      <c r="BT152" s="20">
        <f>SUMIF($E$5:$E$142,"510",$BT$5:$BT$142)</f>
        <v>0</v>
      </c>
      <c r="BU152" s="20">
        <f>SUMIF($E$5:$E$142,"510",$BU$5:$BU$142)</f>
        <v>0</v>
      </c>
      <c r="BV152" s="20">
        <f>SUMIF($E$5:$E$142,"510",$BV$5:$BV$142)</f>
        <v>49925345</v>
      </c>
      <c r="BW152" s="20">
        <f>SUMIF($E$5:$E$142,"510",$BW$5:$BW$142)</f>
        <v>12701474</v>
      </c>
      <c r="BX152" s="20">
        <f>SUMIF($E$5:$E$142,"510",$BX$5:$BX$142)</f>
        <v>0</v>
      </c>
      <c r="BY152" s="20">
        <f>SUMIF($E$5:$E$142,"510",$BY$5:$BY$142)</f>
        <v>0</v>
      </c>
      <c r="BZ152" s="20">
        <f>SUMIF($E$5:$E$142,"510",$BZ$5:$BZ$142)</f>
        <v>0</v>
      </c>
      <c r="CA152" s="20">
        <f>SUMIF($E$5:$E$142,"510",$CA$5:$CA$142)</f>
        <v>408481018</v>
      </c>
      <c r="CB152" s="26">
        <f>SUMIF($E$5:$E$142,"510",$CB$5:$CB$142)</f>
        <v>81355489</v>
      </c>
      <c r="CC152" s="25">
        <f t="shared" si="157"/>
        <v>0.67584490564906885</v>
      </c>
      <c r="CD152" s="21">
        <f t="shared" si="158"/>
        <v>2020295092</v>
      </c>
      <c r="CE152" s="24">
        <f>SUMIF($E$5:$E$142,"510",$CE$5:$CE$142)</f>
        <v>0</v>
      </c>
      <c r="CF152" s="24">
        <f>SUMIF($E$5:$E$142,"510",$CF$5:$CF$142)</f>
        <v>1002026678</v>
      </c>
      <c r="CG152" s="24">
        <f>SUMIF($E$5:$E$142,"510",$CG$5:$CG$142)</f>
        <v>33329347</v>
      </c>
      <c r="CH152" s="24">
        <f>SUMIF($E$5:$E$142,"510",$CH$5:$CH$142)</f>
        <v>0</v>
      </c>
      <c r="CI152" s="24">
        <f>SUMIF($E$5:$E$142,"510",$CI$5:$CI$142)</f>
        <v>0</v>
      </c>
      <c r="CJ152" s="24">
        <f>SUMIF($E$5:$E$142,"510",$CJ$5:$CJ$142)</f>
        <v>0</v>
      </c>
      <c r="CK152" s="24">
        <f>SUMIF($E$5:$E$142,"510",$CK$5:$CK$142)</f>
        <v>0</v>
      </c>
      <c r="CL152" s="24">
        <f>SUMIF($E$5:$E$142,"510",$CL$5:$CL$142)</f>
        <v>0</v>
      </c>
      <c r="CM152" s="24">
        <f>SUMIF($E$5:$E$142,"510",$CM$5:$CM$142)</f>
        <v>0</v>
      </c>
      <c r="CN152" s="24">
        <f>SUMIF($E$5:$E$142,"510",$CN$5:$CN$142)</f>
        <v>14999964</v>
      </c>
      <c r="CO152" s="24">
        <f>SUMIF($E$5:$E$142,"510",$CO$5:$CO$142)</f>
        <v>0</v>
      </c>
      <c r="CP152" s="24">
        <f>SUMIF($E$5:$E$142,"510",$CP$5:$CP$142)</f>
        <v>0</v>
      </c>
      <c r="CQ152" s="24">
        <f>SUMIF($E$5:$E$142,"510",$CQ$5:$CQ$142)</f>
        <v>0</v>
      </c>
      <c r="CR152" s="24">
        <f>SUMIF($E$5:$E$142,"510",$CR$5:$CR$142)</f>
        <v>0</v>
      </c>
      <c r="CS152" s="24">
        <f>SUMIF($E$5:$E$142,"510",$CS$5:$CS$142)</f>
        <v>0</v>
      </c>
      <c r="CT152" s="24">
        <f>SUMIF($E$5:$E$142,"510",$CT$5:$CT$142)</f>
        <v>0</v>
      </c>
      <c r="CU152" s="24">
        <f>SUMIF($E$5:$E$142,"510",$CU$5:$CU$142)</f>
        <v>164740084</v>
      </c>
      <c r="CV152" s="24">
        <f>SUMIF($E$5:$E$142,"510",$CV$5:$CV$142)</f>
        <v>131624859</v>
      </c>
      <c r="CW152" s="24">
        <f>SUMIF($E$5:$E$142,"510",$CW$5:$CW$142)</f>
        <v>0</v>
      </c>
      <c r="CX152" s="24">
        <f>SUMIF($E$5:$E$142,"510",$CX$5:$CX$142)</f>
        <v>0</v>
      </c>
      <c r="CY152" s="24">
        <f>SUMIF($E$5:$E$142,"510",$CY$5:$CY$142)</f>
        <v>0</v>
      </c>
      <c r="CZ152" s="24">
        <f>SUMIF($E$5:$E$142,"510",$CZ$5:$CZ$142)</f>
        <v>467044183</v>
      </c>
      <c r="DA152" s="23">
        <f>SUMIF($E$5:$E$142,"510",$DA$5:$DA$142)</f>
        <v>206529977</v>
      </c>
      <c r="DB152" s="22">
        <f t="shared" si="159"/>
        <v>0.32415509435093115</v>
      </c>
      <c r="DC152" s="21">
        <f t="shared" si="160"/>
        <v>968992946</v>
      </c>
      <c r="DD152" s="20">
        <f>SUMIF($E$5:$E$142,"510",$DD$5:$DD$142)</f>
        <v>23655791</v>
      </c>
      <c r="DE152" s="20">
        <f>SUMIF($E$5:$E$142,"510",$DE$5:$DE$142)</f>
        <v>149043795</v>
      </c>
      <c r="DF152" s="20">
        <f>SUMIF($E$5:$E$142,"510",$DF$5:$DF$142)</f>
        <v>47314743</v>
      </c>
      <c r="DG152" s="20">
        <f>SUMIF($E$5:$E$142,"510",$DG$5:$DG$142)</f>
        <v>0</v>
      </c>
      <c r="DH152" s="20">
        <f>SUMIF($E$5:$E$142,"510",$DH$5:$DH$142)</f>
        <v>0</v>
      </c>
      <c r="DI152" s="20">
        <f>SUMIF($E$5:$E$142,"510",$DI$5:$DI$142)</f>
        <v>0</v>
      </c>
      <c r="DJ152" s="20">
        <f>SUMIF($E$5:$E$142,"510",$DJ$5:$DJ$142)</f>
        <v>0</v>
      </c>
      <c r="DK152" s="20">
        <f>SUMIF($E$5:$E$142,"510",$DK$5:$DK$142)</f>
        <v>0</v>
      </c>
      <c r="DL152" s="20">
        <f>SUMIF($E$5:$E$142,"510",$DL$5:$DL$142)</f>
        <v>15000000</v>
      </c>
      <c r="DM152" s="20">
        <f>SUMIF($E$5:$E$142,"510",$DM$5:$DM$142)</f>
        <v>36</v>
      </c>
      <c r="DN152" s="19">
        <f>SUMIF($E$5:$E$142,"510",$DN$5:$DN$142)</f>
        <v>15000000</v>
      </c>
      <c r="DO152" s="19">
        <f>SUMIF($E$5:$E$142,"510",$DO$5:$DO$142)</f>
        <v>0</v>
      </c>
      <c r="DP152" s="19">
        <f>SUMIF($E$5:$E$142,"510",$DP$5:$DP$142)</f>
        <v>0</v>
      </c>
      <c r="DQ152" s="19">
        <f>SUMIF($E$5:$E$142,"510",$DQ$5:$DQ$142)</f>
        <v>0</v>
      </c>
      <c r="DR152" s="19">
        <f>SUMIF($E$5:$E$142,"510",$DR$5:$DR$142)</f>
        <v>0</v>
      </c>
      <c r="DS152" s="19">
        <f>SUMIF($E$5:$E$142,"510",$DS$5:$DS$142)</f>
        <v>0</v>
      </c>
      <c r="DT152" s="19">
        <f>SUMIF($E$5:$E$142,"510",$DT$5:$DT$142)</f>
        <v>71259916</v>
      </c>
      <c r="DU152" s="19">
        <f>SUMIF($E$5:$E$142,"510",$DU$5:$DU$142)</f>
        <v>30375141</v>
      </c>
      <c r="DV152" s="19">
        <f>SUMIF($E$5:$E$142,"510",$DV$5:$DV$142)</f>
        <v>0</v>
      </c>
      <c r="DW152" s="19">
        <f>SUMIF($E$5:$E$142,"510",$DW$5:$DW$142)</f>
        <v>0</v>
      </c>
      <c r="DX152" s="19">
        <f>SUMIF($E$5:$E$142,"510",$DX$5:$DX$142)</f>
        <v>0</v>
      </c>
      <c r="DY152" s="19">
        <f>SUMIF($E$5:$E$142,"510",$DY$5:$DY$142)</f>
        <v>505766835</v>
      </c>
      <c r="DZ152" s="19">
        <f>SUMIF($E$5:$E$142,"510",$DZ$5:$DZ$142)</f>
        <v>111576689</v>
      </c>
      <c r="EB152" s="165" t="s">
        <v>433</v>
      </c>
      <c r="EC152" s="175">
        <v>9091266497</v>
      </c>
      <c r="ED152" s="175">
        <v>3855588245</v>
      </c>
      <c r="EE152" s="176">
        <f t="shared" si="161"/>
        <v>0.42409803367575838</v>
      </c>
    </row>
    <row r="153" spans="3:135" x14ac:dyDescent="0.3">
      <c r="C153" s="33"/>
      <c r="D153" s="32" t="s">
        <v>12</v>
      </c>
      <c r="E153" s="31">
        <v>520</v>
      </c>
      <c r="F153" s="29"/>
      <c r="G153" s="24">
        <f>SUMIF($E$5:$E$142,"520",$G$5:$G$142)</f>
        <v>4542835904</v>
      </c>
      <c r="H153" s="30">
        <f>SUMIF($E$5:$E$142,"520",$H$5:$H$142)</f>
        <v>0</v>
      </c>
      <c r="I153" s="30">
        <f>SUMIF($E$5:$E$142,"520",$I$5:$I$142)</f>
        <v>835000000</v>
      </c>
      <c r="J153" s="30">
        <f>SUMIF($E$5:$E$143,"520",$J$5:$J$143)</f>
        <v>0</v>
      </c>
      <c r="K153" s="30">
        <f>SUMIF($E$5:$E$143,"520",$K$5:$K$143)</f>
        <v>114000000</v>
      </c>
      <c r="L153" s="24">
        <f>SUMIF($E$5:$E$142,"520",$L$5:$L$142)</f>
        <v>0</v>
      </c>
      <c r="M153" s="29">
        <f>SUMIF($E$5:$E$142,"520",$M$5:$M$142)</f>
        <v>0</v>
      </c>
      <c r="N153" s="29">
        <f>SUMIF($E$5:$E$142,"520",$N$5:$N$142)</f>
        <v>0</v>
      </c>
      <c r="O153" s="29">
        <f>SUMIF($E$5:$E$142,"520",$O$5:$O$142)</f>
        <v>0</v>
      </c>
      <c r="P153" s="29">
        <f>SUMIF($E$5:$E$142,"520",$P$5:$P$142)</f>
        <v>0</v>
      </c>
      <c r="Q153" s="29">
        <f>SUMIF($E$5:$E$142,"520",$Q$5:$Q$142)</f>
        <v>0</v>
      </c>
      <c r="R153" s="29">
        <f>SUMIF($E$5:$E$142,"520",$R$5:$R$142)</f>
        <v>0</v>
      </c>
      <c r="S153" s="29">
        <f>SUMIF($E$5:$E$142,"520",$S$5:$S$142)</f>
        <v>0</v>
      </c>
      <c r="T153" s="29">
        <f>SUMIF($E$5:$E$142,"520",$T$5:$T$142)</f>
        <v>0</v>
      </c>
      <c r="U153" s="29">
        <f>SUMIF($E$5:$E$142,"520",$U$5:$U$142)</f>
        <v>0</v>
      </c>
      <c r="V153" s="29">
        <f>SUMIF($E$5:$E$142,"520",$V$5:$V$142)</f>
        <v>0</v>
      </c>
      <c r="W153" s="29">
        <f>SUMIF($E$5:$E$142,"520",$W$5:$W$142)</f>
        <v>2115618253</v>
      </c>
      <c r="X153" s="29">
        <f>SUMIF($E$5:$E$142,"520",$X$5:$X$142)</f>
        <v>312000000</v>
      </c>
      <c r="Y153" s="29">
        <f>SUMIF($E$5:$E$142,"520",$Y$5:$Y$142)</f>
        <v>132565530</v>
      </c>
      <c r="Z153" s="29">
        <f>SUMIF($E$5:$E$142,"520",$Z$5:$Z$142)</f>
        <v>210000000</v>
      </c>
      <c r="AA153" s="29">
        <f>SUMIF($E$5:$E$131,"520",$AA$5:$AA$131)</f>
        <v>0</v>
      </c>
      <c r="AB153" s="29"/>
      <c r="AC153" s="29">
        <f>SUMIF($E$5:$E$142,"520",$AC$5:$AC$142)</f>
        <v>0</v>
      </c>
      <c r="AD153" s="29">
        <f>SUMIF($E$5:$E$142,"520",$AD$5:$AD$142)</f>
        <v>823652121</v>
      </c>
      <c r="AE153" s="28">
        <f t="shared" si="154"/>
        <v>0.70256471297801915</v>
      </c>
      <c r="AF153" s="24">
        <f>SUMIF($E$5:$E$142,"520",$AF$5:$AF$142)</f>
        <v>3191636203</v>
      </c>
      <c r="AG153" s="24">
        <f>SUMIF($E$5:$E$142,"520",$AG$5:$AG$142)</f>
        <v>0</v>
      </c>
      <c r="AH153" s="24">
        <f>SUMIF($E$5:$E$142,"520",$AH$5:$AH$142)</f>
        <v>723629579</v>
      </c>
      <c r="AI153" s="24">
        <f>SUMIF($E$5:$E$142,"520",$AI$5:$AI$142)</f>
        <v>0</v>
      </c>
      <c r="AJ153" s="24">
        <f>SUMIF($E$5:$E$142,"520",$AJ$5:$AJ$142)</f>
        <v>0</v>
      </c>
      <c r="AK153" s="24">
        <f>SUMIF($E$5:$E$142,"520",$AK$5:$AK$142)</f>
        <v>0</v>
      </c>
      <c r="AL153" s="24">
        <f>SUMIF($E$5:$E$142,"520",$AL$5:$AL$142)</f>
        <v>0</v>
      </c>
      <c r="AM153" s="24">
        <f>SUMIF($E$5:$E$142,"520",$AM$5:$AM$142)</f>
        <v>0</v>
      </c>
      <c r="AN153" s="24">
        <f>SUMIF($E$5:$E$142,"520",$AN$5:$AN$142)</f>
        <v>0</v>
      </c>
      <c r="AO153" s="24">
        <f>SUMIF($E$5:$E$142,"520",$AO$5:$AO$142)</f>
        <v>0</v>
      </c>
      <c r="AP153" s="24">
        <f>SUMIF($E$5:$E$142,"520",$AP$5:$AP$142)</f>
        <v>0</v>
      </c>
      <c r="AQ153" s="24">
        <f>SUMIF($E$5:$E$142,"520",$AQ$5:$AQ$142)</f>
        <v>0</v>
      </c>
      <c r="AR153" s="24">
        <f>SUMIF($E$5:$E$142,"520",$AR$5:$AR$142)</f>
        <v>0</v>
      </c>
      <c r="AS153" s="24">
        <f>SUMIF($E$5:$E$142,"520",$AS$5:$AS$142)</f>
        <v>0</v>
      </c>
      <c r="AT153" s="24">
        <f>SUMIF($E$5:$E$142,"520",$AT$5:$AT$142)</f>
        <v>0</v>
      </c>
      <c r="AU153" s="24">
        <f>SUMIF($E$5:$E$142,"520",$AU$5:$AU$142)</f>
        <v>0</v>
      </c>
      <c r="AV153" s="24">
        <f>SUMIF($E$5:$E$142,"520",$AV$5:$AV$142)</f>
        <v>1147808427</v>
      </c>
      <c r="AW153" s="24">
        <f>SUMIF($E$5:$E$142,"520",$AW$5:$AW$142)</f>
        <v>254812711</v>
      </c>
      <c r="AX153" s="24">
        <f>SUMIF($E$5:$E$142,"520",$AX$5:$AX$142)</f>
        <v>132163690</v>
      </c>
      <c r="AY153" s="24">
        <f>SUMIF($E$5:$E$142,"520",$AY$5:$AY$142)</f>
        <v>185055761</v>
      </c>
      <c r="AZ153" s="24">
        <f>SUMIF($E$5:$E$142,"520",$AZ$5:$AZ$142)</f>
        <v>0</v>
      </c>
      <c r="BA153" s="24">
        <f>SUMIF($E$5:$E$142,"520",$BA$5:$BA$142)</f>
        <v>0</v>
      </c>
      <c r="BB153" s="24">
        <f>SUMIF($E$5:$E$142,"520",$BB$5:$BB$142)</f>
        <v>0</v>
      </c>
      <c r="BC153" s="24">
        <f>SUMIF($E$5:$E$142,"520",$BC$5:$BC$142)</f>
        <v>748166035</v>
      </c>
      <c r="BD153" s="27">
        <f t="shared" si="155"/>
        <v>0.29743528702198085</v>
      </c>
      <c r="BE153" s="21">
        <f t="shared" si="156"/>
        <v>1351199701</v>
      </c>
      <c r="BF153" s="20">
        <f>SUMIF($E$5:$E$142,"520",$BF$5:$BF$142)</f>
        <v>0</v>
      </c>
      <c r="BG153" s="20">
        <f>SUMIF($E$5:$E$142,"520",$BG$5:$BG$142)</f>
        <v>111370421</v>
      </c>
      <c r="BH153" s="20">
        <f>SUMIF($E$5:$E$142,"520",$BH$5:$BH$142)</f>
        <v>0</v>
      </c>
      <c r="BI153" s="20">
        <f>SUMIF($E$5:$E$142,"520",$BI$5:$BI$142)</f>
        <v>114000000</v>
      </c>
      <c r="BJ153" s="20">
        <f>SUMIF($E$5:$E$142,"520",$BJ$5:$BJ$142)</f>
        <v>0</v>
      </c>
      <c r="BK153" s="20">
        <f>SUMIF($E$5:$E$142,"520",$BK$5:$BK$142)</f>
        <v>0</v>
      </c>
      <c r="BL153" s="20">
        <f>SUMIF($E$5:$E$142,"520",$BL$5:$BL$142)</f>
        <v>0</v>
      </c>
      <c r="BM153" s="20">
        <f>SUMIF($E$5:$E$142,"520",$BM$5:$BM$142)</f>
        <v>0</v>
      </c>
      <c r="BN153" s="20">
        <f>SUMIF($E$5:$E$142,"520",$BN$5:$BN$142)</f>
        <v>0</v>
      </c>
      <c r="BO153" s="20">
        <f>SUMIF($E$5:$E$142,"520",$BO$5:$BO$142)</f>
        <v>0</v>
      </c>
      <c r="BP153" s="20">
        <f>SUMIF($E$5:$E$142,"520",$BP$5:$BP$142)</f>
        <v>0</v>
      </c>
      <c r="BQ153" s="20">
        <f>SUMIF($E$5:$E$142,"520",$BQ$5:$BQ$142)</f>
        <v>0</v>
      </c>
      <c r="BR153" s="20">
        <f>SUMIF($E$5:$E$142,"520",$BR$5:$BR$142)</f>
        <v>0</v>
      </c>
      <c r="BS153" s="20">
        <f>SUMIF($E$5:$E$142,"520",$BS$5:$BS$142)</f>
        <v>0</v>
      </c>
      <c r="BT153" s="20">
        <f>SUMIF($E$5:$E$142,"520",$BT$5:$BT$142)</f>
        <v>0</v>
      </c>
      <c r="BU153" s="20">
        <f>SUMIF($E$5:$E$142,"520",$BU$5:$BU$142)</f>
        <v>967809826</v>
      </c>
      <c r="BV153" s="20">
        <f>SUMIF($E$5:$E$142,"520",$BV$5:$BV$142)</f>
        <v>57187289</v>
      </c>
      <c r="BW153" s="20">
        <f>SUMIF($E$5:$E$142,"520",$BW$5:$BW$142)</f>
        <v>401840</v>
      </c>
      <c r="BX153" s="20">
        <f>SUMIF($E$5:$E$142,"520",$BX$5:$BX$142)</f>
        <v>24944239</v>
      </c>
      <c r="BY153" s="20">
        <f>SUMIF($E$5:$E$142,"520",$BY$5:$BY$142)</f>
        <v>0</v>
      </c>
      <c r="BZ153" s="20">
        <f>SUMIF($E$5:$E$142,"520",$BZ$5:$BZ$142)</f>
        <v>0</v>
      </c>
      <c r="CA153" s="20">
        <f>SUMIF($E$5:$E$142,"520",$CA$5:$CA$142)</f>
        <v>0</v>
      </c>
      <c r="CB153" s="26">
        <f>SUMIF($E$5:$E$142,"520",$CB$5:$CB$142)</f>
        <v>75486086</v>
      </c>
      <c r="CC153" s="25">
        <f t="shared" si="157"/>
        <v>0.62252565440673246</v>
      </c>
      <c r="CD153" s="21">
        <f t="shared" si="158"/>
        <v>2828031894</v>
      </c>
      <c r="CE153" s="24">
        <f>SUMIF($E$5:$E$142,"520",$CE$5:$CE$142)</f>
        <v>0</v>
      </c>
      <c r="CF153" s="24">
        <f>SUMIF($E$5:$E$142,"520",$CF$5:$CF$142)</f>
        <v>690697980</v>
      </c>
      <c r="CG153" s="24">
        <f>SUMIF($E$5:$E$142,"520",$CG$5:$CG$142)</f>
        <v>0</v>
      </c>
      <c r="CH153" s="24">
        <f>SUMIF($E$5:$E$142,"520",$CH$5:$CH$142)</f>
        <v>0</v>
      </c>
      <c r="CI153" s="24">
        <f>SUMIF($E$5:$E$142,"520",$CI$5:$CI$142)</f>
        <v>0</v>
      </c>
      <c r="CJ153" s="24">
        <f>SUMIF($E$5:$E$142,"520",$CJ$5:$CJ$142)</f>
        <v>0</v>
      </c>
      <c r="CK153" s="24">
        <f>SUMIF($E$5:$E$142,"520",$CK$5:$CK$142)</f>
        <v>0</v>
      </c>
      <c r="CL153" s="24">
        <f>SUMIF($E$5:$E$142,"520",$CL$5:$CL$142)</f>
        <v>0</v>
      </c>
      <c r="CM153" s="24">
        <f>SUMIF($E$5:$E$142,"520",$CM$5:$CM$142)</f>
        <v>0</v>
      </c>
      <c r="CN153" s="24">
        <f>SUMIF($E$5:$E$142,"520",$CN$5:$CN$142)</f>
        <v>0</v>
      </c>
      <c r="CO153" s="24">
        <f>SUMIF($E$5:$E$142,"520",$CO$5:$CO$142)</f>
        <v>0</v>
      </c>
      <c r="CP153" s="24">
        <f>SUMIF($E$5:$E$142,"520",$CP$5:$CP$142)</f>
        <v>0</v>
      </c>
      <c r="CQ153" s="24">
        <f>SUMIF($E$5:$E$142,"520",$CQ$5:$CQ$142)</f>
        <v>0</v>
      </c>
      <c r="CR153" s="24">
        <f>SUMIF($E$5:$E$142,"520",$CR$5:$CR$142)</f>
        <v>0</v>
      </c>
      <c r="CS153" s="24">
        <f>SUMIF($E$5:$E$142,"520",$CS$5:$CS$142)</f>
        <v>0</v>
      </c>
      <c r="CT153" s="24">
        <f>SUMIF($E$5:$E$142,"520",$CT$5:$CT$142)</f>
        <v>925151991</v>
      </c>
      <c r="CU153" s="24">
        <f>SUMIF($E$5:$E$142,"520",$CU$5:$CU$142)</f>
        <v>232990834</v>
      </c>
      <c r="CV153" s="24">
        <f>SUMIF($E$5:$E$142,"520",$CV$5:$CV$142)</f>
        <v>131194801</v>
      </c>
      <c r="CW153" s="24">
        <f>SUMIF($E$5:$E$142,"520",$CW$5:$CW$142)</f>
        <v>174779088</v>
      </c>
      <c r="CX153" s="24">
        <f>SUMIF($E$5:$E$142,"520",$CX$5:$CX$142)</f>
        <v>0</v>
      </c>
      <c r="CY153" s="24">
        <f>SUMIF($E$5:$E$142,"520",$CY$5:$CY$142)</f>
        <v>0</v>
      </c>
      <c r="CZ153" s="24">
        <f>SUMIF($E$5:$E$142,"520",$CZ$5:$CZ$142)</f>
        <v>0</v>
      </c>
      <c r="DA153" s="23">
        <f>SUMIF($E$5:$E$142,"520",$DA$5:$DA$142)</f>
        <v>673217200</v>
      </c>
      <c r="DB153" s="22">
        <f t="shared" si="159"/>
        <v>0.37747434559326754</v>
      </c>
      <c r="DC153" s="21">
        <f t="shared" si="160"/>
        <v>1714804010</v>
      </c>
      <c r="DD153" s="20">
        <f>SUMIF($E$5:$E$142,"520",$DD$5:$DD$142)</f>
        <v>0</v>
      </c>
      <c r="DE153" s="20">
        <f>SUMIF($E$5:$E$142,"520",$DE$5:$DE$142)</f>
        <v>144302020</v>
      </c>
      <c r="DF153" s="20">
        <f>SUMIF($E$5:$E$142,"520",$DF$5:$DF$142)</f>
        <v>0</v>
      </c>
      <c r="DG153" s="20">
        <f>SUMIF($E$5:$E$142,"520",$DG$5:$DG$142)</f>
        <v>114000000</v>
      </c>
      <c r="DH153" s="20">
        <f>SUMIF($E$5:$E$142,"520",$DH$5:$DH$142)</f>
        <v>0</v>
      </c>
      <c r="DI153" s="20">
        <f>SUMIF($E$5:$E$142,"520",$DI$5:$DI$142)</f>
        <v>0</v>
      </c>
      <c r="DJ153" s="20">
        <f>SUMIF($E$5:$E$142,"520",$DJ$5:$DJ$142)</f>
        <v>0</v>
      </c>
      <c r="DK153" s="20">
        <f>SUMIF($E$5:$E$142,"520",$DK$5:$DK$142)</f>
        <v>0</v>
      </c>
      <c r="DL153" s="20">
        <f>SUMIF($E$5:$E$142,"520",$DL$5:$DL$142)</f>
        <v>0</v>
      </c>
      <c r="DM153" s="20">
        <f>SUMIF($E$5:$E$142,"520",$DM$5:$DM$142)</f>
        <v>0</v>
      </c>
      <c r="DN153" s="19">
        <f>SUMIF($E$5:$E$142,"520",$DN$5:$DN$142)</f>
        <v>0</v>
      </c>
      <c r="DO153" s="19">
        <f>SUMIF($E$5:$E$142,"520",$DO$5:$DO$142)</f>
        <v>0</v>
      </c>
      <c r="DP153" s="19">
        <f>SUMIF($E$5:$E$142,"520",$DP$5:$DP$142)</f>
        <v>0</v>
      </c>
      <c r="DQ153" s="19">
        <f>SUMIF($E$5:$E$142,"520",$DQ$5:$DQ$142)</f>
        <v>0</v>
      </c>
      <c r="DR153" s="19">
        <f>SUMIF($E$5:$E$142,"520",$DR$5:$DR$142)</f>
        <v>0</v>
      </c>
      <c r="DS153" s="19">
        <f>SUMIF($E$5:$E$142,"520",$DS$5:$DS$142)</f>
        <v>1190466262</v>
      </c>
      <c r="DT153" s="19">
        <f>SUMIF($E$5:$E$142,"520",$DT$5:$DT$142)</f>
        <v>79009166</v>
      </c>
      <c r="DU153" s="19">
        <f>SUMIF($E$5:$E$142,"520",$DU$5:$DU$142)</f>
        <v>1370729</v>
      </c>
      <c r="DV153" s="19">
        <f>SUMIF($E$5:$E$142,"520",$DV$5:$DV$142)</f>
        <v>35220912</v>
      </c>
      <c r="DW153" s="19">
        <f>SUMIF($E$5:$E$142,"520",$DW$5:$DW$142)</f>
        <v>0</v>
      </c>
      <c r="DX153" s="19">
        <f>SUMIF($E$5:$E$142,"520",$DX$5:$DX$142)</f>
        <v>0</v>
      </c>
      <c r="DY153" s="19">
        <f>SUMIF($E$5:$E$142,"520",$DY$5:$DY$142)</f>
        <v>0</v>
      </c>
      <c r="DZ153" s="19">
        <f>SUMIF($E$5:$E$142,"520",$DZ$5:$DZ$142)</f>
        <v>150434921</v>
      </c>
      <c r="EB153" s="165" t="s">
        <v>434</v>
      </c>
      <c r="EC153" s="175">
        <v>2989288038</v>
      </c>
      <c r="ED153" s="175">
        <v>2020295092</v>
      </c>
      <c r="EE153" s="176">
        <f t="shared" si="161"/>
        <v>0.67584490564906885</v>
      </c>
    </row>
    <row r="154" spans="3:135" ht="15" thickBot="1" x14ac:dyDescent="0.35">
      <c r="C154" s="203" t="s">
        <v>11</v>
      </c>
      <c r="D154" s="204"/>
      <c r="E154" s="18"/>
      <c r="F154" s="17"/>
      <c r="G154" s="8">
        <f t="shared" ref="G154:AD154" si="162">SUM(G147:G153)</f>
        <v>42445623888</v>
      </c>
      <c r="H154" s="8">
        <f t="shared" si="162"/>
        <v>467762013</v>
      </c>
      <c r="I154" s="8">
        <f t="shared" si="162"/>
        <v>2969410598</v>
      </c>
      <c r="J154" s="8">
        <f t="shared" si="162"/>
        <v>80644090</v>
      </c>
      <c r="K154" s="8">
        <f t="shared" si="162"/>
        <v>2311816144</v>
      </c>
      <c r="L154" s="8">
        <f t="shared" si="162"/>
        <v>10500000000</v>
      </c>
      <c r="M154" s="8">
        <f t="shared" si="162"/>
        <v>208000000</v>
      </c>
      <c r="N154" s="8">
        <f t="shared" si="162"/>
        <v>244096406</v>
      </c>
      <c r="O154" s="8">
        <f t="shared" si="162"/>
        <v>4798861038</v>
      </c>
      <c r="P154" s="8">
        <f t="shared" si="162"/>
        <v>986590852</v>
      </c>
      <c r="Q154" s="8">
        <f t="shared" si="162"/>
        <v>899683955</v>
      </c>
      <c r="R154" s="8">
        <f t="shared" si="162"/>
        <v>833117257</v>
      </c>
      <c r="S154" s="16">
        <f t="shared" si="162"/>
        <v>797458202</v>
      </c>
      <c r="T154" s="16">
        <f t="shared" si="162"/>
        <v>151047242</v>
      </c>
      <c r="U154" s="8">
        <f t="shared" si="162"/>
        <v>177491556</v>
      </c>
      <c r="V154" s="16">
        <f t="shared" si="162"/>
        <v>247290061</v>
      </c>
      <c r="W154" s="8">
        <f t="shared" si="162"/>
        <v>5673269814</v>
      </c>
      <c r="X154" s="8">
        <f t="shared" si="162"/>
        <v>1161806613</v>
      </c>
      <c r="Y154" s="8">
        <f t="shared" si="162"/>
        <v>1841680997</v>
      </c>
      <c r="Z154" s="8">
        <f t="shared" si="162"/>
        <v>1651021615</v>
      </c>
      <c r="AA154" s="8">
        <f t="shared" si="162"/>
        <v>1770728185</v>
      </c>
      <c r="AB154" s="8">
        <f t="shared" si="162"/>
        <v>453752865</v>
      </c>
      <c r="AC154" s="8">
        <f t="shared" si="162"/>
        <v>1337681906</v>
      </c>
      <c r="AD154" s="8">
        <f t="shared" si="162"/>
        <v>2882412479</v>
      </c>
      <c r="AE154" s="15">
        <f t="shared" si="154"/>
        <v>0.58245585920082255</v>
      </c>
      <c r="AF154" s="13">
        <f t="shared" ref="AF154:BC154" si="163">SUM(AF147:AF153)</f>
        <v>24722702331</v>
      </c>
      <c r="AG154" s="13">
        <f t="shared" si="163"/>
        <v>444103222</v>
      </c>
      <c r="AH154" s="13">
        <f t="shared" si="163"/>
        <v>2788518660</v>
      </c>
      <c r="AI154" s="13">
        <f t="shared" si="163"/>
        <v>71205370</v>
      </c>
      <c r="AJ154" s="13">
        <f t="shared" si="163"/>
        <v>1897816144</v>
      </c>
      <c r="AK154" s="13">
        <f t="shared" si="163"/>
        <v>0</v>
      </c>
      <c r="AL154" s="13">
        <f t="shared" si="163"/>
        <v>208000000</v>
      </c>
      <c r="AM154" s="13">
        <f t="shared" si="163"/>
        <v>236438964</v>
      </c>
      <c r="AN154" s="13">
        <f t="shared" si="163"/>
        <v>3990901707</v>
      </c>
      <c r="AO154" s="13">
        <f t="shared" si="163"/>
        <v>759278628</v>
      </c>
      <c r="AP154" s="13">
        <f t="shared" si="163"/>
        <v>685555509</v>
      </c>
      <c r="AQ154" s="13">
        <f t="shared" si="163"/>
        <v>618849766</v>
      </c>
      <c r="AR154" s="13">
        <f t="shared" si="163"/>
        <v>688781491</v>
      </c>
      <c r="AS154" s="13">
        <f t="shared" si="163"/>
        <v>46614681</v>
      </c>
      <c r="AT154" s="13">
        <f t="shared" si="163"/>
        <v>42390459</v>
      </c>
      <c r="AU154" s="13">
        <f t="shared" si="163"/>
        <v>229882999</v>
      </c>
      <c r="AV154" s="13">
        <f t="shared" si="163"/>
        <v>3026536885</v>
      </c>
      <c r="AW154" s="13">
        <f t="shared" si="163"/>
        <v>1040593732</v>
      </c>
      <c r="AX154" s="13">
        <f t="shared" si="163"/>
        <v>1690781737</v>
      </c>
      <c r="AY154" s="13">
        <f t="shared" si="163"/>
        <v>1231835487</v>
      </c>
      <c r="AZ154" s="13">
        <f t="shared" si="163"/>
        <v>1770547588</v>
      </c>
      <c r="BA154" s="13">
        <f t="shared" si="163"/>
        <v>254320879</v>
      </c>
      <c r="BB154" s="13">
        <f t="shared" si="163"/>
        <v>767292884</v>
      </c>
      <c r="BC154" s="13">
        <f t="shared" si="163"/>
        <v>2232455539</v>
      </c>
      <c r="BD154" s="14">
        <f t="shared" si="155"/>
        <v>0.41754414079917745</v>
      </c>
      <c r="BE154" s="13">
        <f t="shared" ref="BE154:CB154" si="164">SUM(BE147:BE153)</f>
        <v>17722921557</v>
      </c>
      <c r="BF154" s="13">
        <f t="shared" si="164"/>
        <v>23658791</v>
      </c>
      <c r="BG154" s="13">
        <f t="shared" si="164"/>
        <v>180891938</v>
      </c>
      <c r="BH154" s="13">
        <f t="shared" si="164"/>
        <v>9438720</v>
      </c>
      <c r="BI154" s="13">
        <f t="shared" si="164"/>
        <v>414000000</v>
      </c>
      <c r="BJ154" s="13">
        <f t="shared" si="164"/>
        <v>10500000000</v>
      </c>
      <c r="BK154" s="13">
        <f t="shared" si="164"/>
        <v>0</v>
      </c>
      <c r="BL154" s="13">
        <f t="shared" si="164"/>
        <v>7657442</v>
      </c>
      <c r="BM154" s="13">
        <f t="shared" si="164"/>
        <v>807959331</v>
      </c>
      <c r="BN154" s="13">
        <f t="shared" si="164"/>
        <v>227312224</v>
      </c>
      <c r="BO154" s="13">
        <f t="shared" si="164"/>
        <v>214128446</v>
      </c>
      <c r="BP154" s="13">
        <f t="shared" si="164"/>
        <v>214267491</v>
      </c>
      <c r="BQ154" s="13">
        <f t="shared" si="164"/>
        <v>108676711</v>
      </c>
      <c r="BR154" s="13">
        <f t="shared" si="164"/>
        <v>104432561</v>
      </c>
      <c r="BS154" s="13">
        <f t="shared" si="164"/>
        <v>135101097</v>
      </c>
      <c r="BT154" s="13">
        <f t="shared" si="164"/>
        <v>17407062</v>
      </c>
      <c r="BU154" s="13">
        <f t="shared" si="164"/>
        <v>2646732929</v>
      </c>
      <c r="BV154" s="13">
        <f t="shared" si="164"/>
        <v>121212881</v>
      </c>
      <c r="BW154" s="13">
        <f t="shared" si="164"/>
        <v>150899260</v>
      </c>
      <c r="BX154" s="13">
        <f t="shared" si="164"/>
        <v>419186128</v>
      </c>
      <c r="BY154" s="13">
        <f t="shared" si="164"/>
        <v>180597</v>
      </c>
      <c r="BZ154" s="13">
        <f t="shared" si="164"/>
        <v>199431986</v>
      </c>
      <c r="CA154" s="13">
        <f t="shared" si="164"/>
        <v>570389022</v>
      </c>
      <c r="CB154" s="13">
        <f t="shared" si="164"/>
        <v>649956940</v>
      </c>
      <c r="CC154" s="12">
        <f t="shared" si="157"/>
        <v>0.4264634142912801</v>
      </c>
      <c r="CD154" s="11">
        <f t="shared" ref="CD154:DA154" si="165">SUM(CD147:CD153)</f>
        <v>18101505685</v>
      </c>
      <c r="CE154" s="11">
        <f t="shared" si="165"/>
        <v>442882518</v>
      </c>
      <c r="CF154" s="11">
        <f t="shared" si="165"/>
        <v>2588308982</v>
      </c>
      <c r="CG154" s="11">
        <f t="shared" si="165"/>
        <v>33329347</v>
      </c>
      <c r="CH154" s="11">
        <f t="shared" si="165"/>
        <v>108959308</v>
      </c>
      <c r="CI154" s="11">
        <f t="shared" si="165"/>
        <v>0</v>
      </c>
      <c r="CJ154" s="11">
        <f t="shared" si="165"/>
        <v>205876669</v>
      </c>
      <c r="CK154" s="11">
        <f t="shared" si="165"/>
        <v>236438964</v>
      </c>
      <c r="CL154" s="11">
        <f t="shared" si="165"/>
        <v>3159032839</v>
      </c>
      <c r="CM154" s="11">
        <f t="shared" si="165"/>
        <v>320274188</v>
      </c>
      <c r="CN154" s="11">
        <f t="shared" si="165"/>
        <v>248769928</v>
      </c>
      <c r="CO154" s="11">
        <f t="shared" si="165"/>
        <v>584278464</v>
      </c>
      <c r="CP154" s="11">
        <f t="shared" si="165"/>
        <v>508099968</v>
      </c>
      <c r="CQ154" s="11">
        <f t="shared" si="165"/>
        <v>1614681</v>
      </c>
      <c r="CR154" s="11">
        <f t="shared" si="165"/>
        <v>13320090</v>
      </c>
      <c r="CS154" s="11">
        <f t="shared" si="165"/>
        <v>54752821</v>
      </c>
      <c r="CT154" s="11">
        <f t="shared" si="165"/>
        <v>1992811986</v>
      </c>
      <c r="CU154" s="11">
        <f t="shared" si="165"/>
        <v>936884459</v>
      </c>
      <c r="CV154" s="11">
        <f t="shared" si="165"/>
        <v>1626945020</v>
      </c>
      <c r="CW154" s="11">
        <f t="shared" si="165"/>
        <v>850519868</v>
      </c>
      <c r="CX154" s="11">
        <f t="shared" si="165"/>
        <v>1694221856</v>
      </c>
      <c r="CY154" s="11">
        <f t="shared" si="165"/>
        <v>208651389</v>
      </c>
      <c r="CZ154" s="11">
        <f t="shared" si="165"/>
        <v>611344094</v>
      </c>
      <c r="DA154" s="11">
        <f t="shared" si="165"/>
        <v>1674188246</v>
      </c>
      <c r="DB154" s="10">
        <f t="shared" si="159"/>
        <v>0.5735365857087199</v>
      </c>
      <c r="DC154" s="8">
        <f t="shared" ref="DC154:DZ154" ca="1" si="166">SUM(DC147:DC153)</f>
        <v>24344118203</v>
      </c>
      <c r="DD154" s="8">
        <f t="shared" ca="1" si="166"/>
        <v>24879495</v>
      </c>
      <c r="DE154" s="8">
        <f t="shared" si="166"/>
        <v>381101616</v>
      </c>
      <c r="DF154" s="8">
        <f t="shared" si="166"/>
        <v>47314743</v>
      </c>
      <c r="DG154" s="8">
        <f t="shared" si="166"/>
        <v>2202856836</v>
      </c>
      <c r="DH154" s="8">
        <f t="shared" si="166"/>
        <v>10500000000</v>
      </c>
      <c r="DI154" s="8">
        <f t="shared" si="166"/>
        <v>2123331</v>
      </c>
      <c r="DJ154" s="8">
        <f t="shared" si="166"/>
        <v>7657442</v>
      </c>
      <c r="DK154" s="8">
        <f t="shared" si="166"/>
        <v>1639828199</v>
      </c>
      <c r="DL154" s="8">
        <f t="shared" si="166"/>
        <v>666316664</v>
      </c>
      <c r="DM154" s="8">
        <f t="shared" si="166"/>
        <v>650914027</v>
      </c>
      <c r="DN154" s="8">
        <f t="shared" si="166"/>
        <v>248838793</v>
      </c>
      <c r="DO154" s="8">
        <f t="shared" si="166"/>
        <v>289358234</v>
      </c>
      <c r="DP154" s="8">
        <f t="shared" si="166"/>
        <v>149432561</v>
      </c>
      <c r="DQ154" s="8">
        <f t="shared" si="166"/>
        <v>164171466</v>
      </c>
      <c r="DR154" s="8">
        <f t="shared" si="166"/>
        <v>192537240</v>
      </c>
      <c r="DS154" s="8">
        <f t="shared" si="166"/>
        <v>3680457828</v>
      </c>
      <c r="DT154" s="8">
        <f t="shared" si="166"/>
        <v>224922154</v>
      </c>
      <c r="DU154" s="8">
        <f t="shared" si="166"/>
        <v>214735977</v>
      </c>
      <c r="DV154" s="8">
        <f t="shared" si="166"/>
        <v>800501747</v>
      </c>
      <c r="DW154" s="8">
        <f t="shared" si="166"/>
        <v>76506329</v>
      </c>
      <c r="DX154" s="8">
        <f t="shared" si="166"/>
        <v>245101476</v>
      </c>
      <c r="DY154" s="8">
        <f t="shared" si="166"/>
        <v>726337812</v>
      </c>
      <c r="DZ154" s="8">
        <f t="shared" si="166"/>
        <v>1208224233</v>
      </c>
      <c r="EB154" s="165" t="s">
        <v>435</v>
      </c>
      <c r="EC154" s="175">
        <v>4542835904</v>
      </c>
      <c r="ED154" s="175">
        <v>2828031894</v>
      </c>
      <c r="EE154" s="176">
        <f t="shared" si="161"/>
        <v>0.62252565440673246</v>
      </c>
    </row>
    <row r="155" spans="3:135" ht="15" thickTop="1" x14ac:dyDescent="0.3"/>
    <row r="156" spans="3:135" x14ac:dyDescent="0.3">
      <c r="EB156" s="168" t="s">
        <v>400</v>
      </c>
      <c r="EC156" s="169">
        <f>EC148+EC149+EC150+EC151+EC152+EC153+EC154</f>
        <v>42445623888</v>
      </c>
      <c r="ED156" s="169">
        <f>ED148+ED149+ED150+ED151+ED152+ED153+ED154</f>
        <v>18101505685</v>
      </c>
      <c r="EE156" s="171">
        <f>+CC154</f>
        <v>0.4264634142912801</v>
      </c>
    </row>
    <row r="200" spans="4:32" ht="15.6" x14ac:dyDescent="0.3">
      <c r="D200" s="271" t="s">
        <v>448</v>
      </c>
      <c r="E200" s="272"/>
      <c r="F200" s="272"/>
      <c r="G200" s="272"/>
      <c r="H200" s="272"/>
      <c r="I200" s="272"/>
      <c r="J200" s="272"/>
      <c r="K200" s="272"/>
      <c r="L200" s="272"/>
      <c r="M200" s="272"/>
      <c r="N200" s="272"/>
      <c r="O200" s="272"/>
      <c r="P200" s="272"/>
      <c r="Q200" s="272"/>
      <c r="R200" s="272"/>
      <c r="S200" s="272"/>
      <c r="T200" s="272"/>
      <c r="U200" s="272"/>
      <c r="V200" s="272"/>
      <c r="W200" s="272"/>
      <c r="X200" s="272"/>
      <c r="Y200" s="272"/>
      <c r="Z200" s="272"/>
      <c r="AA200" s="272"/>
      <c r="AB200" s="272"/>
      <c r="AC200" s="272"/>
      <c r="AD200" s="272"/>
      <c r="AE200" s="272"/>
      <c r="AF200" s="272"/>
    </row>
    <row r="201" spans="4:32" ht="53.4" customHeight="1" x14ac:dyDescent="0.3">
      <c r="D201" s="177" t="s">
        <v>412</v>
      </c>
      <c r="E201" s="6" t="s">
        <v>444</v>
      </c>
      <c r="F201" s="178"/>
      <c r="G201" s="179" t="s">
        <v>445</v>
      </c>
      <c r="H201" s="177"/>
      <c r="I201" s="177"/>
      <c r="J201" s="177"/>
      <c r="K201" s="177"/>
      <c r="L201" s="177"/>
      <c r="M201" s="177" t="s">
        <v>436</v>
      </c>
      <c r="N201" s="177"/>
      <c r="O201" s="177"/>
      <c r="P201" s="177"/>
      <c r="Q201" s="177"/>
      <c r="R201" s="177"/>
      <c r="S201" s="177"/>
      <c r="T201" s="177"/>
      <c r="U201" s="177"/>
      <c r="V201" s="177"/>
      <c r="W201" s="177"/>
      <c r="X201" s="177" t="s">
        <v>437</v>
      </c>
      <c r="Y201" s="177" t="s">
        <v>436</v>
      </c>
      <c r="Z201" s="177" t="s">
        <v>438</v>
      </c>
      <c r="AA201" s="177"/>
      <c r="AB201" s="177"/>
      <c r="AC201" s="180" t="s">
        <v>439</v>
      </c>
      <c r="AD201" s="180" t="s">
        <v>440</v>
      </c>
      <c r="AE201" s="179" t="s">
        <v>446</v>
      </c>
      <c r="AF201" s="179" t="s">
        <v>447</v>
      </c>
    </row>
    <row r="202" spans="4:32" x14ac:dyDescent="0.3">
      <c r="D202" s="181" t="s">
        <v>373</v>
      </c>
      <c r="E202" s="182">
        <v>1900646157</v>
      </c>
      <c r="F202" s="27"/>
      <c r="G202" s="183">
        <f>+AF40-E202</f>
        <v>1213351237</v>
      </c>
      <c r="H202" s="181"/>
      <c r="I202" s="181"/>
      <c r="J202" s="181"/>
      <c r="K202" s="181"/>
      <c r="L202" s="181"/>
      <c r="M202" s="28"/>
      <c r="N202" s="181"/>
      <c r="O202" s="181"/>
      <c r="P202" s="181"/>
      <c r="Q202" s="181"/>
      <c r="R202" s="181"/>
      <c r="S202" s="181"/>
      <c r="T202" s="181"/>
      <c r="U202" s="181"/>
      <c r="V202" s="181"/>
      <c r="W202" s="181"/>
      <c r="X202" s="184"/>
      <c r="Y202" s="28"/>
      <c r="Z202" s="185"/>
      <c r="AA202" s="186"/>
      <c r="AB202" s="186"/>
      <c r="AC202" s="187">
        <f>+E202+G202</f>
        <v>3113997394</v>
      </c>
      <c r="AD202" s="188">
        <f>E202+G202</f>
        <v>3113997394</v>
      </c>
      <c r="AE202" s="183">
        <f>E202+G202</f>
        <v>3113997394</v>
      </c>
      <c r="AF202" s="25">
        <v>0.58179999999999998</v>
      </c>
    </row>
    <row r="203" spans="4:32" x14ac:dyDescent="0.3">
      <c r="D203" s="181" t="s">
        <v>236</v>
      </c>
      <c r="E203" s="182">
        <v>3003109701</v>
      </c>
      <c r="F203" s="27"/>
      <c r="G203" s="183">
        <f>+AF81-E203</f>
        <v>2605561548</v>
      </c>
      <c r="H203" s="181"/>
      <c r="I203" s="181"/>
      <c r="J203" s="181"/>
      <c r="K203" s="181"/>
      <c r="L203" s="181"/>
      <c r="M203" s="28"/>
      <c r="N203" s="181"/>
      <c r="O203" s="181"/>
      <c r="P203" s="181"/>
      <c r="Q203" s="181"/>
      <c r="R203" s="181"/>
      <c r="S203" s="181"/>
      <c r="T203" s="181"/>
      <c r="U203" s="181"/>
      <c r="V203" s="181"/>
      <c r="W203" s="181"/>
      <c r="X203" s="184"/>
      <c r="Y203" s="28"/>
      <c r="Z203" s="185"/>
      <c r="AA203" s="186"/>
      <c r="AB203" s="186"/>
      <c r="AC203" s="187">
        <f>+E203+G203</f>
        <v>5608671249</v>
      </c>
      <c r="AD203" s="188">
        <f>+E203+G203</f>
        <v>5608671249</v>
      </c>
      <c r="AE203" s="183">
        <f t="shared" ref="AE203:AE206" si="167">E203+G203</f>
        <v>5608671249</v>
      </c>
      <c r="AF203" s="25">
        <v>0.42409999999999998</v>
      </c>
    </row>
    <row r="204" spans="4:32" x14ac:dyDescent="0.3">
      <c r="D204" s="181" t="s">
        <v>441</v>
      </c>
      <c r="E204" s="182">
        <v>2612398443</v>
      </c>
      <c r="F204" s="27"/>
      <c r="G204" s="183">
        <f>+AF105-E204</f>
        <v>579237760</v>
      </c>
      <c r="H204" s="181"/>
      <c r="I204" s="181"/>
      <c r="J204" s="181"/>
      <c r="K204" s="181"/>
      <c r="L204" s="181"/>
      <c r="M204" s="28"/>
      <c r="N204" s="181"/>
      <c r="O204" s="181"/>
      <c r="P204" s="181"/>
      <c r="Q204" s="181"/>
      <c r="R204" s="181"/>
      <c r="S204" s="181"/>
      <c r="T204" s="181"/>
      <c r="U204" s="181"/>
      <c r="V204" s="181"/>
      <c r="W204" s="181"/>
      <c r="X204" s="184"/>
      <c r="Y204" s="28"/>
      <c r="Z204" s="185"/>
      <c r="AA204" s="186"/>
      <c r="AB204" s="186"/>
      <c r="AC204" s="187">
        <f>+E204+G204</f>
        <v>3191636203</v>
      </c>
      <c r="AD204" s="188">
        <f>+E204+G204</f>
        <v>3191636203</v>
      </c>
      <c r="AE204" s="183">
        <f t="shared" si="167"/>
        <v>3191636203</v>
      </c>
      <c r="AF204" s="25">
        <v>0.62250000000000005</v>
      </c>
    </row>
    <row r="205" spans="4:32" x14ac:dyDescent="0.3">
      <c r="D205" s="181" t="s">
        <v>442</v>
      </c>
      <c r="E205" s="182">
        <v>2724491493</v>
      </c>
      <c r="F205" s="27"/>
      <c r="G205" s="183">
        <f>+AF122-E205</f>
        <v>904786517</v>
      </c>
      <c r="H205" s="181"/>
      <c r="I205" s="181"/>
      <c r="J205" s="181"/>
      <c r="K205" s="181"/>
      <c r="L205" s="181"/>
      <c r="M205" s="28"/>
      <c r="N205" s="181"/>
      <c r="O205" s="181"/>
      <c r="P205" s="181"/>
      <c r="Q205" s="181"/>
      <c r="R205" s="181"/>
      <c r="S205" s="181"/>
      <c r="T205" s="181"/>
      <c r="U205" s="181"/>
      <c r="V205" s="181"/>
      <c r="W205" s="181"/>
      <c r="X205" s="184"/>
      <c r="Y205" s="28"/>
      <c r="Z205" s="185"/>
      <c r="AA205" s="186"/>
      <c r="AB205" s="186"/>
      <c r="AC205" s="187">
        <f>+E205+G205</f>
        <v>3629278010</v>
      </c>
      <c r="AD205" s="188">
        <f>+E205+G205</f>
        <v>3629278010</v>
      </c>
      <c r="AE205" s="183">
        <f t="shared" si="167"/>
        <v>3629278010</v>
      </c>
      <c r="AF205" s="25">
        <v>0.78080000000000005</v>
      </c>
    </row>
    <row r="206" spans="4:32" x14ac:dyDescent="0.3">
      <c r="D206" s="181" t="s">
        <v>45</v>
      </c>
      <c r="E206" s="182">
        <v>5405496505</v>
      </c>
      <c r="F206" s="27"/>
      <c r="G206" s="183">
        <f>+AF143-E206</f>
        <v>3773622970</v>
      </c>
      <c r="H206" s="181"/>
      <c r="I206" s="181"/>
      <c r="J206" s="181"/>
      <c r="K206" s="181"/>
      <c r="L206" s="181"/>
      <c r="M206" s="28"/>
      <c r="N206" s="181"/>
      <c r="O206" s="181"/>
      <c r="P206" s="181"/>
      <c r="Q206" s="181"/>
      <c r="R206" s="181"/>
      <c r="S206" s="181"/>
      <c r="T206" s="181"/>
      <c r="U206" s="181"/>
      <c r="V206" s="181"/>
      <c r="W206" s="181"/>
      <c r="X206" s="184"/>
      <c r="Y206" s="28"/>
      <c r="Z206" s="185"/>
      <c r="AA206" s="186"/>
      <c r="AB206" s="186"/>
      <c r="AC206" s="187">
        <f>+E206+G206</f>
        <v>9179119475</v>
      </c>
      <c r="AD206" s="188">
        <f>+E206+G206</f>
        <v>9179119475</v>
      </c>
      <c r="AE206" s="183">
        <f t="shared" si="167"/>
        <v>9179119475</v>
      </c>
      <c r="AF206" s="25">
        <v>0.2888</v>
      </c>
    </row>
    <row r="207" spans="4:32" ht="15" thickBot="1" x14ac:dyDescent="0.35">
      <c r="D207" s="189" t="s">
        <v>443</v>
      </c>
      <c r="E207" s="190">
        <f>E202+E203+E204+E205+E206</f>
        <v>15646142299</v>
      </c>
      <c r="F207" s="191"/>
      <c r="G207" s="190">
        <f>G202+G203+G204+G205+G206</f>
        <v>9076560032</v>
      </c>
      <c r="H207" s="190">
        <f t="shared" ref="H207:AE207" si="168">H202+H203+H204+H205+H206</f>
        <v>0</v>
      </c>
      <c r="I207" s="190">
        <f t="shared" si="168"/>
        <v>0</v>
      </c>
      <c r="J207" s="190">
        <f t="shared" si="168"/>
        <v>0</v>
      </c>
      <c r="K207" s="190">
        <f t="shared" si="168"/>
        <v>0</v>
      </c>
      <c r="L207" s="190">
        <f t="shared" si="168"/>
        <v>0</v>
      </c>
      <c r="M207" s="190">
        <f t="shared" si="168"/>
        <v>0</v>
      </c>
      <c r="N207" s="190">
        <f t="shared" si="168"/>
        <v>0</v>
      </c>
      <c r="O207" s="190">
        <f t="shared" si="168"/>
        <v>0</v>
      </c>
      <c r="P207" s="190">
        <f t="shared" si="168"/>
        <v>0</v>
      </c>
      <c r="Q207" s="190">
        <f t="shared" si="168"/>
        <v>0</v>
      </c>
      <c r="R207" s="190">
        <f t="shared" si="168"/>
        <v>0</v>
      </c>
      <c r="S207" s="190">
        <f t="shared" si="168"/>
        <v>0</v>
      </c>
      <c r="T207" s="190">
        <f t="shared" si="168"/>
        <v>0</v>
      </c>
      <c r="U207" s="190">
        <f t="shared" si="168"/>
        <v>0</v>
      </c>
      <c r="V207" s="190">
        <f t="shared" si="168"/>
        <v>0</v>
      </c>
      <c r="W207" s="190">
        <f t="shared" si="168"/>
        <v>0</v>
      </c>
      <c r="X207" s="190">
        <f t="shared" si="168"/>
        <v>0</v>
      </c>
      <c r="Y207" s="190">
        <f t="shared" si="168"/>
        <v>0</v>
      </c>
      <c r="Z207" s="190">
        <f t="shared" si="168"/>
        <v>0</v>
      </c>
      <c r="AA207" s="190">
        <f t="shared" si="168"/>
        <v>0</v>
      </c>
      <c r="AB207" s="190">
        <f t="shared" si="168"/>
        <v>0</v>
      </c>
      <c r="AC207" s="190">
        <f t="shared" si="168"/>
        <v>24722702331</v>
      </c>
      <c r="AD207" s="190">
        <f t="shared" si="168"/>
        <v>24722702331</v>
      </c>
      <c r="AE207" s="190">
        <f t="shared" si="168"/>
        <v>24722702331</v>
      </c>
      <c r="AF207" s="12">
        <v>0.42649999999999999</v>
      </c>
    </row>
    <row r="208" spans="4:32" ht="15" thickTop="1" x14ac:dyDescent="0.3"/>
    <row r="211" spans="5:5" x14ac:dyDescent="0.3">
      <c r="E211" s="4"/>
    </row>
  </sheetData>
  <mergeCells count="66">
    <mergeCell ref="B22:B26"/>
    <mergeCell ref="B81:E81"/>
    <mergeCell ref="B45:B51"/>
    <mergeCell ref="B27:B31"/>
    <mergeCell ref="B32:B33"/>
    <mergeCell ref="B34:B35"/>
    <mergeCell ref="B36:B39"/>
    <mergeCell ref="B40:E40"/>
    <mergeCell ref="B41:B44"/>
    <mergeCell ref="B143:D143"/>
    <mergeCell ref="C145:E145"/>
    <mergeCell ref="C154:D154"/>
    <mergeCell ref="B119:B121"/>
    <mergeCell ref="B122:F122"/>
    <mergeCell ref="A123:A131"/>
    <mergeCell ref="B124:B125"/>
    <mergeCell ref="B126:B131"/>
    <mergeCell ref="A134:A142"/>
    <mergeCell ref="B134:B140"/>
    <mergeCell ref="B141:B142"/>
    <mergeCell ref="A101:A104"/>
    <mergeCell ref="B101:B102"/>
    <mergeCell ref="B105:F105"/>
    <mergeCell ref="A106:A117"/>
    <mergeCell ref="B106:B108"/>
    <mergeCell ref="B112:B113"/>
    <mergeCell ref="A82:A93"/>
    <mergeCell ref="B82:B84"/>
    <mergeCell ref="B88:B95"/>
    <mergeCell ref="A97:A100"/>
    <mergeCell ref="B97:B98"/>
    <mergeCell ref="A60:A73"/>
    <mergeCell ref="B60:B63"/>
    <mergeCell ref="B64:B72"/>
    <mergeCell ref="B74:B75"/>
    <mergeCell ref="A76:A80"/>
    <mergeCell ref="B76:B77"/>
    <mergeCell ref="B5:B10"/>
    <mergeCell ref="B11:B14"/>
    <mergeCell ref="B15:B21"/>
    <mergeCell ref="BD3:BE3"/>
    <mergeCell ref="CC3:CD3"/>
    <mergeCell ref="F2:F4"/>
    <mergeCell ref="G3:G4"/>
    <mergeCell ref="AE3:AF3"/>
    <mergeCell ref="A2:A4"/>
    <mergeCell ref="B2:B4"/>
    <mergeCell ref="C2:C4"/>
    <mergeCell ref="D2:D4"/>
    <mergeCell ref="E2:E4"/>
    <mergeCell ref="DC1:DZ1"/>
    <mergeCell ref="D200:AF200"/>
    <mergeCell ref="C1:F1"/>
    <mergeCell ref="G1:AD1"/>
    <mergeCell ref="AF1:BC1"/>
    <mergeCell ref="BF1:CC1"/>
    <mergeCell ref="CD1:DA1"/>
    <mergeCell ref="DC2:DO2"/>
    <mergeCell ref="DP2:DZ2"/>
    <mergeCell ref="DB3:DC3"/>
    <mergeCell ref="G2:AD2"/>
    <mergeCell ref="AF2:BC2"/>
    <mergeCell ref="BF2:BQ2"/>
    <mergeCell ref="BR2:CB2"/>
    <mergeCell ref="CE2:CQ2"/>
    <mergeCell ref="CT2:DA2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5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OCTUBRE 2019</vt:lpstr>
      <vt:lpstr>P. ACCIÓN CONSOLIDADO </vt:lpstr>
      <vt:lpstr>'P. ACCIÓN CONSOLIDADO '!Títulos_a_imprimir</vt:lpstr>
      <vt:lpstr>'P. ACCIÓN OCTUBRE 2019'!Títulos_a_imprimir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2019-11-15T17:14:55Z</dcterms:created>
  <dcterms:modified xsi:type="dcterms:W3CDTF">2019-12-03T16:16:14Z</dcterms:modified>
</cp:coreProperties>
</file>